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7" yWindow="65527" windowWidth="14674" windowHeight="12429" activeTab="0"/>
  </bookViews>
  <sheets>
    <sheet name="Knots" sheetId="1" r:id="rId1"/>
  </sheets>
  <definedNames>
    <definedName name="_xlnm.Print_Area" localSheetId="0">'Knots'!$A$1:$H$446</definedName>
  </definedNames>
  <calcPr fullCalcOnLoad="1"/>
</workbook>
</file>

<file path=xl/comments1.xml><?xml version="1.0" encoding="utf-8"?>
<comments xmlns="http://schemas.openxmlformats.org/spreadsheetml/2006/main">
  <authors>
    <author>Craig</author>
  </authors>
  <commentList>
    <comment ref="L438" authorId="0">
      <text>
        <r>
          <rPr>
            <b/>
            <sz val="9"/>
            <rFont val="Tahoma"/>
            <family val="2"/>
          </rPr>
          <t>weight</t>
        </r>
        <r>
          <rPr>
            <sz val="9"/>
            <rFont val="Tahoma"/>
            <family val="2"/>
          </rPr>
          <t xml:space="preserve">
</t>
        </r>
      </text>
    </comment>
    <comment ref="M438" authorId="0">
      <text>
        <r>
          <rPr>
            <b/>
            <sz val="9"/>
            <rFont val="Tahoma"/>
            <family val="2"/>
          </rPr>
          <t>If &gt; .99 then
large env.</t>
        </r>
        <r>
          <rPr>
            <sz val="9"/>
            <rFont val="Tahoma"/>
            <family val="2"/>
          </rPr>
          <t xml:space="preserve">
</t>
        </r>
      </text>
    </comment>
    <comment ref="M447" authorId="0">
      <text>
        <r>
          <rPr>
            <b/>
            <sz val="9"/>
            <rFont val="Tahoma"/>
            <family val="2"/>
          </rPr>
          <t xml:space="preserve">First Class
</t>
        </r>
        <r>
          <rPr>
            <sz val="9"/>
            <rFont val="Tahoma"/>
            <family val="2"/>
          </rPr>
          <t xml:space="preserve">
</t>
        </r>
      </text>
    </comment>
    <comment ref="M448" authorId="0">
      <text>
        <r>
          <rPr>
            <b/>
            <sz val="9"/>
            <rFont val="Tahoma"/>
            <family val="2"/>
          </rPr>
          <t>1st  Large</t>
        </r>
        <r>
          <rPr>
            <sz val="9"/>
            <rFont val="Tahoma"/>
            <family val="2"/>
          </rPr>
          <t xml:space="preserve">
</t>
        </r>
      </text>
    </comment>
    <comment ref="M450" authorId="0">
      <text>
        <r>
          <rPr>
            <b/>
            <sz val="9"/>
            <rFont val="Tahoma"/>
            <family val="2"/>
          </rPr>
          <t>Additional Oz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<sst xmlns="http://schemas.openxmlformats.org/spreadsheetml/2006/main" count="541" uniqueCount="371">
  <si>
    <t>Craig Murray</t>
  </si>
  <si>
    <t xml:space="preserve">Quality and </t>
  </si>
  <si>
    <t>Customer Service</t>
  </si>
  <si>
    <t>is my Hiking Trail!</t>
  </si>
  <si>
    <t>Please fill in all boxes - use tab to move</t>
  </si>
  <si>
    <t>SHIP TO:</t>
  </si>
  <si>
    <t xml:space="preserve">Name: </t>
  </si>
  <si>
    <t xml:space="preserve">Street: </t>
  </si>
  <si>
    <t xml:space="preserve">City, St, Zip: </t>
  </si>
  <si>
    <t xml:space="preserve">E-mail: </t>
  </si>
  <si>
    <t xml:space="preserve">Date: </t>
  </si>
  <si>
    <t>Qty.</t>
  </si>
  <si>
    <t xml:space="preserve">Price   </t>
  </si>
  <si>
    <t xml:space="preserve">Amount </t>
  </si>
  <si>
    <t>Eagle</t>
  </si>
  <si>
    <t>Training Award</t>
  </si>
  <si>
    <t>Scouter's Key</t>
  </si>
  <si>
    <t>Silver Beaver</t>
  </si>
  <si>
    <t>Arrow of Light</t>
  </si>
  <si>
    <t>James E. West</t>
  </si>
  <si>
    <t>Ranger</t>
  </si>
  <si>
    <t xml:space="preserve">TOTAL ENCLOSED: </t>
  </si>
  <si>
    <t>Send this filled out form, the payment, and a self addressed stamped envelope.</t>
  </si>
  <si>
    <t>Thank you for your order,</t>
  </si>
  <si>
    <t>Silver Antelope</t>
  </si>
  <si>
    <t xml:space="preserve">Phone: </t>
  </si>
  <si>
    <t xml:space="preserve">PayPal convenience fee     </t>
  </si>
  <si>
    <t>&lt; Enter a 1 if payment through PayPal</t>
  </si>
  <si>
    <t>SM/Advisor's Award of Merit</t>
  </si>
  <si>
    <t>Venturing background knots</t>
  </si>
  <si>
    <t>NESA Eagle</t>
  </si>
  <si>
    <t>plenty</t>
  </si>
  <si>
    <t>Hornaday</t>
  </si>
  <si>
    <t>error - green &amp; white switched</t>
  </si>
  <si>
    <t>Whitney Young</t>
  </si>
  <si>
    <t>Medal of Merit</t>
  </si>
  <si>
    <t>Honor Medal</t>
  </si>
  <si>
    <t>Silver Buffalo</t>
  </si>
  <si>
    <t>International Scouters Award</t>
  </si>
  <si>
    <t>Sea Scout white background knots</t>
  </si>
  <si>
    <t>Sea Scout black background knots</t>
  </si>
  <si>
    <t>Doctor of Commissioner Science</t>
  </si>
  <si>
    <t>Distinguished Commissioner</t>
  </si>
  <si>
    <t>Commissioner Award of Excellence</t>
  </si>
  <si>
    <t>Boy Scout tan background knots</t>
  </si>
  <si>
    <t>SM Award of Merit</t>
  </si>
  <si>
    <t>Vigil</t>
  </si>
  <si>
    <t>Cub Scout knots</t>
  </si>
  <si>
    <t>Pack Trainer</t>
  </si>
  <si>
    <t>Various knots</t>
  </si>
  <si>
    <t>Girl Scout Gold</t>
  </si>
  <si>
    <t>Speakers Bank</t>
  </si>
  <si>
    <t>Iraqi</t>
  </si>
  <si>
    <t>dark green border</t>
  </si>
  <si>
    <t>light green border</t>
  </si>
  <si>
    <t>blue</t>
  </si>
  <si>
    <t>white Mylar</t>
  </si>
  <si>
    <t>District Award of Merit (Venturing green background)</t>
  </si>
  <si>
    <t>Catholic Dioceses Distinguished Service Award</t>
  </si>
  <si>
    <t>Boyce</t>
  </si>
  <si>
    <t>YPT - overhand knot</t>
  </si>
  <si>
    <t>International Friendship</t>
  </si>
  <si>
    <t xml:space="preserve">Shipping     </t>
  </si>
  <si>
    <t>Commissioner knots</t>
  </si>
  <si>
    <t>Roundtable Carrick bend</t>
  </si>
  <si>
    <t>District Award of Merit (SS white background)</t>
  </si>
  <si>
    <t>Black border</t>
  </si>
  <si>
    <t>Trained strip patches</t>
  </si>
  <si>
    <t>Skipper's Award of Merit</t>
  </si>
  <si>
    <t>Webelos Leader</t>
  </si>
  <si>
    <t>Historic trails (blue &amp; green on tan)</t>
  </si>
  <si>
    <t>Cub Scouter</t>
  </si>
  <si>
    <t>Boy Scout</t>
  </si>
  <si>
    <t>Cubmaster</t>
  </si>
  <si>
    <t>Tiger Cub Leader</t>
  </si>
  <si>
    <t>Den Leader</t>
  </si>
  <si>
    <t>Den Leader Coach</t>
  </si>
  <si>
    <t>NYLT</t>
  </si>
  <si>
    <t>Venturing Silver award - Silver Mylar knot</t>
  </si>
  <si>
    <t>stocked</t>
  </si>
  <si>
    <t>Venturing</t>
  </si>
  <si>
    <t>International</t>
  </si>
  <si>
    <t>Red background, gold mylar stitching</t>
  </si>
  <si>
    <t>Youth Religious</t>
  </si>
  <si>
    <t>Adult Religious</t>
  </si>
  <si>
    <t>Commissioner Trained Trainer - silver stitching</t>
  </si>
  <si>
    <t>Commissioner Trained Trainer - gold stitching</t>
  </si>
  <si>
    <t>Sea Scout blue background knots</t>
  </si>
  <si>
    <t>Emeritus arc</t>
  </si>
  <si>
    <t>George Meany Award</t>
  </si>
  <si>
    <t>William H. Spurgeon III Award</t>
  </si>
  <si>
    <t>proof of earning required</t>
  </si>
  <si>
    <t>Gold Hornaday Badge  - proof of earning required</t>
  </si>
  <si>
    <t>first issue</t>
  </si>
  <si>
    <t>Historic trails (blue &amp; green on dark green)</t>
  </si>
  <si>
    <t>Historic trails (blue &amp; green on white)</t>
  </si>
  <si>
    <t>NYLT Staff</t>
  </si>
  <si>
    <t>NAYLE</t>
  </si>
  <si>
    <t>regular issue - yellow background</t>
  </si>
  <si>
    <t>form updated &gt;</t>
  </si>
  <si>
    <t>Gettysburg (Blue &amp; Gray civil war)</t>
  </si>
  <si>
    <t>Venturing Trained Trainer (green &amp; white)</t>
  </si>
  <si>
    <t>Venturing Trained Trainer (red)</t>
  </si>
  <si>
    <t>Alumni Award</t>
  </si>
  <si>
    <t>Unit Leader Award of Merit</t>
  </si>
  <si>
    <t>Various</t>
  </si>
  <si>
    <t>ESPAÑOL - white lettering on red</t>
  </si>
  <si>
    <t>Sea Scout World Crest</t>
  </si>
  <si>
    <t>White FDL on purple</t>
  </si>
  <si>
    <t>Purple FDL on white</t>
  </si>
  <si>
    <t>Purple FDL on tan</t>
  </si>
  <si>
    <t>White FDL on black</t>
  </si>
  <si>
    <t>Adult religious</t>
  </si>
  <si>
    <t>Sea Scout Trained (white)</t>
  </si>
  <si>
    <t>Sea Scout Trained Trainer (tan)</t>
  </si>
  <si>
    <t>Philmont Trained</t>
  </si>
  <si>
    <t>fully embroidered</t>
  </si>
  <si>
    <t>Available</t>
  </si>
  <si>
    <t>American Heritage Girls Stars &amp; Stripes Award</t>
  </si>
  <si>
    <t>tan twill background</t>
  </si>
  <si>
    <t>white twill background</t>
  </si>
  <si>
    <t>black twill background</t>
  </si>
  <si>
    <t>Vale La Pena</t>
  </si>
  <si>
    <t>District Award of Merit</t>
  </si>
  <si>
    <t>OA Trained - red felt</t>
  </si>
  <si>
    <t>Venturing - 6" jacket patch</t>
  </si>
  <si>
    <t>Skippers Key</t>
  </si>
  <si>
    <t>Skipper's Key</t>
  </si>
  <si>
    <t>Venturing Leadership Award</t>
  </si>
  <si>
    <t>BS border</t>
  </si>
  <si>
    <t>Venturing border</t>
  </si>
  <si>
    <t>White border</t>
  </si>
  <si>
    <t>OA ring - white since 2015 w/ World Crest</t>
  </si>
  <si>
    <t>ILSC</t>
  </si>
  <si>
    <t>Venturing ring w/ World Crest</t>
  </si>
  <si>
    <t xml:space="preserve">Sea Scout ring w/ tan World Crest </t>
  </si>
  <si>
    <t>OA ring - red centennial w/ World Crest</t>
  </si>
  <si>
    <t>Staff - tan background, blue stitching</t>
  </si>
  <si>
    <t>Staff - white background, silver mylar border</t>
  </si>
  <si>
    <t>CD - gray background, blue stitching</t>
  </si>
  <si>
    <t>CD - gray background, green stitching</t>
  </si>
  <si>
    <t>CD - tan background, blue stitching</t>
  </si>
  <si>
    <t>Inclusive</t>
  </si>
  <si>
    <t>Staff - black background, blue stitching</t>
  </si>
  <si>
    <t>Denail</t>
  </si>
  <si>
    <t>Bronze Big Horn</t>
  </si>
  <si>
    <t>Area VOA</t>
  </si>
  <si>
    <t>Nat'l Camping School on green twill</t>
  </si>
  <si>
    <t>Stake Presidency</t>
  </si>
  <si>
    <t>Kodiak - participant</t>
  </si>
  <si>
    <t>Kodiak - STAFF</t>
  </si>
  <si>
    <t>Venturing - 2"</t>
  </si>
  <si>
    <t>Silver Hornaday Badge</t>
  </si>
  <si>
    <t>Sea Scout Trained (blue)</t>
  </si>
  <si>
    <t>District</t>
  </si>
  <si>
    <t>Seabadge</t>
  </si>
  <si>
    <t>Participant pin-badge (all silver)</t>
  </si>
  <si>
    <t>CD pin-badge (all gold)</t>
  </si>
  <si>
    <t>Sea Scout</t>
  </si>
  <si>
    <t>light blue</t>
  </si>
  <si>
    <t>VOA</t>
  </si>
  <si>
    <t>District Award of Merit (SS tan background)</t>
  </si>
  <si>
    <t>District Award of Merit (SS black background)</t>
  </si>
  <si>
    <t>Golden Beaver</t>
  </si>
  <si>
    <t>Denali</t>
  </si>
  <si>
    <t>Sea Scout dark Navy blue background knots</t>
  </si>
  <si>
    <t>District Award of Merit (SS Navy blue background)</t>
  </si>
  <si>
    <t>Staff pin-badge (silver on gold)</t>
  </si>
  <si>
    <t>Skipper's Key (brown twill w/ dark blue &amp; white knot)</t>
  </si>
  <si>
    <t>Skipper's Key (brown twill w/ blue &amp; white knot)</t>
  </si>
  <si>
    <t>Seabadge Underway</t>
  </si>
  <si>
    <t>White background</t>
  </si>
  <si>
    <t>Tan background</t>
  </si>
  <si>
    <t>CD - gray background, gold mylar stitching</t>
  </si>
  <si>
    <t>CD - black background, gold mylar stitching</t>
  </si>
  <si>
    <t>CD - white background, gold mylar stitching</t>
  </si>
  <si>
    <t>tan - fully embroidered</t>
  </si>
  <si>
    <t>District Commissioner's Award of Merit</t>
  </si>
  <si>
    <t>World Scouting</t>
  </si>
  <si>
    <t>tan</t>
  </si>
  <si>
    <t>red</t>
  </si>
  <si>
    <t>Cub Scout ring w/ World Crest</t>
  </si>
  <si>
    <t>Varsity ring w/ World Crest</t>
  </si>
  <si>
    <t>Varsity ring</t>
  </si>
  <si>
    <t>Commissioner - red border stitching</t>
  </si>
  <si>
    <t>Commissioner - silver border stitching</t>
  </si>
  <si>
    <t>Commissioner - gold border stitching</t>
  </si>
  <si>
    <t>SEAL - silver</t>
  </si>
  <si>
    <t>SEAL - gold</t>
  </si>
  <si>
    <t>https://www.sageventure.com</t>
  </si>
  <si>
    <t>Navy blue twill bkgd./ Navy border</t>
  </si>
  <si>
    <t>dk.grn. twill bkgd./ dk.grn. border</t>
  </si>
  <si>
    <t>Venturing Recruiter</t>
  </si>
  <si>
    <t>Congressional Gold Award</t>
  </si>
  <si>
    <t>Navy Blue</t>
  </si>
  <si>
    <t>White</t>
  </si>
  <si>
    <t>Sea Scouts, BSA</t>
  </si>
  <si>
    <t>Sea Scout Trained (new light blue)</t>
  </si>
  <si>
    <t>blue twill bkgd./ blue border</t>
  </si>
  <si>
    <t>black twill bkgd./ black border</t>
  </si>
  <si>
    <t>Venturing 20th Ann. ring w/ World Crest</t>
  </si>
  <si>
    <t>Navy blue twill background</t>
  </si>
  <si>
    <t>Back to Gilwell</t>
  </si>
  <si>
    <t>Philmont Master's Track (fully embroidered)</t>
  </si>
  <si>
    <t>OA Distinguished Service Award</t>
  </si>
  <si>
    <t>Girl Scout Silver</t>
  </si>
  <si>
    <t>Black</t>
  </si>
  <si>
    <t>dk. grn. twill background</t>
  </si>
  <si>
    <t>4" wide</t>
  </si>
  <si>
    <t>2.5" wide</t>
  </si>
  <si>
    <t>Venturing red adult patches</t>
  </si>
  <si>
    <t>Long Cruise</t>
  </si>
  <si>
    <t>Long Camp</t>
  </si>
  <si>
    <t>Life Scout</t>
  </si>
  <si>
    <t>white twill bkgd./white border</t>
  </si>
  <si>
    <t>Staff - black background, white stitching</t>
  </si>
  <si>
    <t>Staff - black background, silver mylar stitching</t>
  </si>
  <si>
    <t>Regional Vice Commodore - Chambrey</t>
  </si>
  <si>
    <t>Regional Vice Commodore - Navy</t>
  </si>
  <si>
    <t>black for SS</t>
  </si>
  <si>
    <t>Silver Falcon</t>
  </si>
  <si>
    <t>Navy blue border</t>
  </si>
  <si>
    <t>Venturing 20th Ann. right sleeve patch</t>
  </si>
  <si>
    <t>Powder Horn CDC w/ button loop</t>
  </si>
  <si>
    <t>Fun Commissioner - Nobody Important</t>
  </si>
  <si>
    <t>Fun Commissioner - Head Gopher</t>
  </si>
  <si>
    <t>Fun Commissioner - Recharter Champion of the World</t>
  </si>
  <si>
    <t>FOSE</t>
  </si>
  <si>
    <t>wt.&gt;</t>
  </si>
  <si>
    <t xml:space="preserve">cost&gt; </t>
  </si>
  <si>
    <t>ship &gt;</t>
  </si>
  <si>
    <t>Finis Aetatis</t>
  </si>
  <si>
    <t>tan - gold Mylar border</t>
  </si>
  <si>
    <t>red - gold Mylar border</t>
  </si>
  <si>
    <t>light blue - gold Mylar border</t>
  </si>
  <si>
    <t>NYLT Trained</t>
  </si>
  <si>
    <t>Explorer GOLD (Young Am. Award)</t>
  </si>
  <si>
    <t>Scouts BSA (scout logo, BSA)</t>
  </si>
  <si>
    <t>Fun Commissioner - Jack of all Trades (all gold FDL)</t>
  </si>
  <si>
    <t>Fun Comm. - Jack of all Trades (silver outline for FDL)</t>
  </si>
  <si>
    <t>Scouts of Ecuador</t>
  </si>
  <si>
    <t>Fun Commissioner - A Little Thin on the Top</t>
  </si>
  <si>
    <t>Order of the Condor</t>
  </si>
  <si>
    <t>Not an Eagle Scout (blank green)</t>
  </si>
  <si>
    <t>SCUBA</t>
  </si>
  <si>
    <t>normal blue border</t>
  </si>
  <si>
    <t>yellow border</t>
  </si>
  <si>
    <t>Sea Scout ring on Navy blue twill</t>
  </si>
  <si>
    <t>DESA Eagle</t>
  </si>
  <si>
    <t>DESA NESA Eagle</t>
  </si>
  <si>
    <t>OESA Eagle</t>
  </si>
  <si>
    <t>OESA NESA Eagle</t>
  </si>
  <si>
    <t>Amateur  Radio Operator (red)</t>
  </si>
  <si>
    <t>Amateur  Radio Operator (BS tan)</t>
  </si>
  <si>
    <t>Amateur  Radio Operator (Venturing green)</t>
  </si>
  <si>
    <t>Quartermaster</t>
  </si>
  <si>
    <t>Spoof ASM - Head Catherder</t>
  </si>
  <si>
    <t>Sea Scout ring on white twill w/ World Crest</t>
  </si>
  <si>
    <t>Sea Scout ring on black twill w/ World Crest</t>
  </si>
  <si>
    <t>Sea Scout ring on Navy blue twill w/ World Crest</t>
  </si>
  <si>
    <t>Spoof SM - This is my second job</t>
  </si>
  <si>
    <t>Spoof SM - I came, I saw, I became a volunteer</t>
  </si>
  <si>
    <t>Spoof - Mosquito Magnet</t>
  </si>
  <si>
    <t>Khaki background knots</t>
  </si>
  <si>
    <t>District Recognition knots</t>
  </si>
  <si>
    <t>Copper Star</t>
  </si>
  <si>
    <t>Silver Saghuaro</t>
  </si>
  <si>
    <t>Aquehonga knot</t>
  </si>
  <si>
    <t>Spoof - Merit Badge Counselor</t>
  </si>
  <si>
    <t>Youth Leadership in America Award</t>
  </si>
  <si>
    <t>Hornaday Unit Award</t>
  </si>
  <si>
    <t>(tan twill)</t>
  </si>
  <si>
    <t>Heroism/Honor Medal</t>
  </si>
  <si>
    <t>Participant pin-badge (all silver) black twill</t>
  </si>
  <si>
    <t>Participant pin-badge (all silver) tan twill</t>
  </si>
  <si>
    <t>Council Vice Commodore - Chambrey</t>
  </si>
  <si>
    <t>Staff pin-badge (silver on gold) black twill</t>
  </si>
  <si>
    <t>CD pin-badge (all gold) black twill</t>
  </si>
  <si>
    <t>Blue stitching on white twill</t>
  </si>
  <si>
    <t>White stitching on black twill</t>
  </si>
  <si>
    <t>Silver mylar stitching on black twill</t>
  </si>
  <si>
    <t>Green stitching on gray twill</t>
  </si>
  <si>
    <t>Staff - blue stitching on gray twill</t>
  </si>
  <si>
    <t>Staff - green stitching on gray twill</t>
  </si>
  <si>
    <t>Staff - blue stitching on white twill</t>
  </si>
  <si>
    <t>CD - silver mylar border on white twill</t>
  </si>
  <si>
    <t>CD - blue stitching on white twill</t>
  </si>
  <si>
    <t>CD - blue stitching on black twill</t>
  </si>
  <si>
    <t>CD - gold border on white twill</t>
  </si>
  <si>
    <t>CD - gold border on tan twill</t>
  </si>
  <si>
    <t>CD - gold border on black twill</t>
  </si>
  <si>
    <t>Black border on black twill</t>
  </si>
  <si>
    <t>Troop 1 - Gilwell Park</t>
  </si>
  <si>
    <t>Scouts, BSA</t>
  </si>
  <si>
    <t>Venturing or Cubs</t>
  </si>
  <si>
    <t>Sea Scouts</t>
  </si>
  <si>
    <t>black</t>
  </si>
  <si>
    <t>Skipper's Award of Merit / Quartermaster</t>
  </si>
  <si>
    <t>old 3 star Regional position - tan</t>
  </si>
  <si>
    <t>old 3 star Regional position - black</t>
  </si>
  <si>
    <t>old 3 star Regional position - white</t>
  </si>
  <si>
    <t>Popcorn Volunteer knot</t>
  </si>
  <si>
    <t>Commodore award</t>
  </si>
  <si>
    <t>Blue Ox</t>
  </si>
  <si>
    <t>Cub Scout Trained</t>
  </si>
  <si>
    <t>Venturing 25 years (gray bar at the bottom)</t>
  </si>
  <si>
    <t>Venturing 25 years</t>
  </si>
  <si>
    <t>#/oz</t>
  </si>
  <si>
    <t>#</t>
  </si>
  <si>
    <t>lg #</t>
  </si>
  <si>
    <t>uniform color 1970's &amp; before</t>
  </si>
  <si>
    <t>Venturing green &amp; white patches</t>
  </si>
  <si>
    <t>District Sea Scout Commissioner</t>
  </si>
  <si>
    <t>Professional Training Award</t>
  </si>
  <si>
    <t>Asian American Award</t>
  </si>
  <si>
    <t>Nat'l Camping School on green twill - STAFF</t>
  </si>
  <si>
    <t>District Trained (blue background)</t>
  </si>
  <si>
    <t>National Team</t>
  </si>
  <si>
    <t>50 Miles (gold &amp; red knot)</t>
  </si>
  <si>
    <t xml:space="preserve">Diocesan Award of Merit </t>
  </si>
  <si>
    <t>Sea Scout Ranks</t>
  </si>
  <si>
    <t>Apprentice</t>
  </si>
  <si>
    <t>Able</t>
  </si>
  <si>
    <t>Ordinary</t>
  </si>
  <si>
    <t>Duke of Edinburgh</t>
  </si>
  <si>
    <t>Gold</t>
  </si>
  <si>
    <t>Silver</t>
  </si>
  <si>
    <t>Bronze</t>
  </si>
  <si>
    <t>Black - Advisor</t>
  </si>
  <si>
    <t>USA reverse flag</t>
  </si>
  <si>
    <t>Far East Council, SS CSP</t>
  </si>
  <si>
    <t>Sea Scout Recruiter on black</t>
  </si>
  <si>
    <t>SageVenture@yahoo.com</t>
  </si>
  <si>
    <t>Venturing 25th Ann. ring w/ World Crest</t>
  </si>
  <si>
    <t>SEAL - silver &amp; gold</t>
  </si>
  <si>
    <t>Powder Horn (participant tan)</t>
  </si>
  <si>
    <t>Powder Horn (staff tan)</t>
  </si>
  <si>
    <t>Powder Horn (CD tan)</t>
  </si>
  <si>
    <t>Powder Horn (CD dark green)</t>
  </si>
  <si>
    <t>Powder Horn (CD Navy)</t>
  </si>
  <si>
    <t>NESA Distinguished Service Award</t>
  </si>
  <si>
    <t>Powder Horn</t>
  </si>
  <si>
    <t>Powder Horn (participant Navy)</t>
  </si>
  <si>
    <t>Powder Horn (staff Navy)</t>
  </si>
  <si>
    <t>Powder Horn (participant dark green)</t>
  </si>
  <si>
    <t>Powder Horn (staff dark green)</t>
  </si>
  <si>
    <t>Eagle for Life</t>
  </si>
  <si>
    <t>Dog and Pony Show</t>
  </si>
  <si>
    <t>Den Chief Service Award</t>
  </si>
  <si>
    <t>Boy Scout Trained</t>
  </si>
  <si>
    <t>OA Trained - white felt</t>
  </si>
  <si>
    <t>Island City, OR  97850-8525</t>
  </si>
  <si>
    <t>Scouting Service Award</t>
  </si>
  <si>
    <t>Kodiak Course Director</t>
  </si>
  <si>
    <t>Kodiak Course Director  w/ button loop</t>
  </si>
  <si>
    <t>Outdoor Achievement Award</t>
  </si>
  <si>
    <t>Venturing Silver/Summit award</t>
  </si>
  <si>
    <t xml:space="preserve">International Scouters Award </t>
  </si>
  <si>
    <t xml:space="preserve">District Award of Merit (traditional blue bg) </t>
  </si>
  <si>
    <t xml:space="preserve">fully embroidered </t>
  </si>
  <si>
    <t xml:space="preserve">Community Organization Award                        </t>
  </si>
  <si>
    <t xml:space="preserve">Philmont Master's Track            </t>
  </si>
  <si>
    <t>Skipper's Key  (dark blue &amp; white)</t>
  </si>
  <si>
    <t>Navy blue stitching on gray twill</t>
  </si>
  <si>
    <t>Venturing green stitching on gray twill</t>
  </si>
  <si>
    <t>Fun Commissioner - Chief Patch Collector</t>
  </si>
  <si>
    <t>Fun Commissioner - Head Instigator</t>
  </si>
  <si>
    <t>Fun Commissioner - Grand Pooh-Bah</t>
  </si>
  <si>
    <t>20777 Fuero Dr</t>
  </si>
  <si>
    <t>Walnut, CA  91789-2561</t>
  </si>
  <si>
    <t>Fun Commissioner - Old Geezer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</si>
</sst>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  <numFmt numFmtId="165" formatCode="mmm\ dd\,\ yyyy"/>
    <numFmt numFmtId="166" formatCode="&quot;$&quot;#,##0.00;\(&quot;$&quot;#,##0.00\)"/>
    <numFmt numFmtId="167" formatCode="mmmm\ d\,\ yyyy"/>
    <numFmt numFmtId="168" formatCode="&quot;$&quot;#,##0.00;[Red]&quot;$&quot;#,##0.00"/>
    <numFmt numFmtId="169" formatCode="&quot;$&quot;#,##0.00_);[Red]&quot;$&quot;#,##0.00"/>
    <numFmt numFmtId="170" formatCode="&quot;$&quot;#,##0.00\);\(&quot;$&quot;#,##0.00\)"/>
    <numFmt numFmtId="171" formatCode="&quot;$&quot;0.00"/>
    <numFmt numFmtId="172" formatCode="mmm\ d\,\ yyyy"/>
    <numFmt numFmtId="173" formatCode="mmm\.\ d\,\ yyyy"/>
    <numFmt numFmtId="174" formatCode="mmmm\ dd\,\ yyyy"/>
    <numFmt numFmtId="175" formatCode="mmm\ dd\ yyyy"/>
    <numFmt numFmtId="176" formatCode="&quot;$&quot;#,##0;[Red]\(&quot;$&quot;#,##0\)"/>
    <numFmt numFmtId="177" formatCode="mmm\ d\,\ \'yy"/>
    <numFmt numFmtId="178" formatCode="#,##0.0_);[Red]\(#,##0.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  <numFmt numFmtId="184" formatCode="0.0%"/>
    <numFmt numFmtId="185" formatCode="#,##0.00_)_)_)"/>
    <numFmt numFmtId="186" formatCode="[$-409]dddd\,\ mmmm\ dd\,\ yyyy"/>
    <numFmt numFmtId="187" formatCode="m/d/yy;@"/>
    <numFmt numFmtId="188" formatCode="0.0"/>
    <numFmt numFmtId="189" formatCode="[$-409]d\-mmm\-yy;@"/>
    <numFmt numFmtId="190" formatCode="_(&quot;$&quot;* #,##0.00_);[Red]_(&quot;$&quot;* \(#,##0.00\);_(&quot;$&quot;* &quot;-&quot;??_);_(@_)"/>
    <numFmt numFmtId="191" formatCode="m/d;@"/>
    <numFmt numFmtId="192" formatCode="_(&quot;$&quot;* #,##0.00_);_(&quot;$&quot;* \(#,##0.00\)"/>
    <numFmt numFmtId="193" formatCode="_(* #,##0.00_);_(* \(#,##0.00\);_(* &quot;-&quot;_);_(@_)"/>
    <numFmt numFmtId="194" formatCode="_(* #,##0.0_);_(* \(#,##0.0\);_(* &quot;-&quot;?_);_(@_)"/>
    <numFmt numFmtId="195" formatCode="0_);\(0\)"/>
    <numFmt numFmtId="196" formatCode="_(&quot;$&quot;* #,##0_);_(&quot;$&quot;* \(#,##0\);_(&quot;$&quot;* &quot;-&quot;??_);_(@_)"/>
    <numFmt numFmtId="197" formatCode="_(* #,##0_);_(* \(#,##0\);_(* &quot;-&quot;??_);_(@_)"/>
    <numFmt numFmtId="198" formatCode="[&lt;=9999999]###\-####;\(###\)\ ###\-####"/>
    <numFmt numFmtId="199" formatCode="_(* #,##0.0000_);_(* \(#,##0.0000\);_(* &quot;-&quot;_);_(@_)"/>
    <numFmt numFmtId="200" formatCode="_(* #,##0.0000_);_(* \(#,##0.0000\);_(* &quot;-&quot;??_);_(@_)"/>
    <numFmt numFmtId="201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u val="single"/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0" borderId="0" applyAlignment="0"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6" fillId="0" borderId="0" applyFill="0" applyBorder="0" applyAlignment="0" applyProtection="0"/>
    <xf numFmtId="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40" applyFont="1" applyAlignment="1">
      <alignment horizontal="left"/>
      <protection/>
    </xf>
    <xf numFmtId="14" fontId="9" fillId="0" borderId="0" xfId="40" applyNumberFormat="1" applyFont="1" applyAlignment="1" quotePrefix="1">
      <alignment horizontal="left"/>
      <protection/>
    </xf>
    <xf numFmtId="0" fontId="9" fillId="0" borderId="0" xfId="40" applyFont="1" applyAlignment="1">
      <alignment/>
      <protection/>
    </xf>
    <xf numFmtId="0" fontId="9" fillId="0" borderId="0" xfId="40" applyFont="1" applyAlignment="1">
      <alignment horizontal="right"/>
      <protection/>
    </xf>
    <xf numFmtId="1" fontId="9" fillId="0" borderId="0" xfId="40" applyNumberFormat="1" applyFont="1" applyAlignment="1">
      <alignment horizontal="right"/>
      <protection/>
    </xf>
    <xf numFmtId="0" fontId="10" fillId="0" borderId="0" xfId="40" applyFont="1" applyAlignment="1">
      <alignment horizontal="centerContinuous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185" fontId="6" fillId="0" borderId="0" xfId="43" applyNumberFormat="1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6" fillId="0" borderId="13" xfId="0" applyNumberFormat="1" applyFont="1" applyBorder="1" applyAlignment="1">
      <alignment vertical="center"/>
    </xf>
    <xf numFmtId="0" fontId="5" fillId="0" borderId="0" xfId="56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43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applyProtection="1">
      <alignment vertical="center"/>
      <protection hidden="1"/>
    </xf>
    <xf numFmtId="44" fontId="6" fillId="0" borderId="14" xfId="0" applyNumberFormat="1" applyFont="1" applyBorder="1" applyAlignment="1" applyProtection="1">
      <alignment/>
      <protection hidden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3" fontId="6" fillId="0" borderId="13" xfId="0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/>
    </xf>
    <xf numFmtId="43" fontId="6" fillId="0" borderId="16" xfId="0" applyNumberFormat="1" applyFont="1" applyBorder="1" applyAlignment="1">
      <alignment vertical="center"/>
    </xf>
    <xf numFmtId="43" fontId="6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/>
    </xf>
    <xf numFmtId="189" fontId="6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40" applyFont="1" applyAlignment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10" xfId="0" applyFont="1" applyBorder="1" applyAlignment="1">
      <alignment horizontal="center"/>
    </xf>
    <xf numFmtId="0" fontId="54" fillId="0" borderId="0" xfId="0" applyFont="1" applyBorder="1" applyAlignment="1" applyProtection="1">
      <alignment horizontal="center" vertical="center"/>
      <protection/>
    </xf>
    <xf numFmtId="16" fontId="5" fillId="0" borderId="0" xfId="56" applyNumberFormat="1" applyAlignment="1" applyProtection="1">
      <alignment horizontal="right"/>
      <protection/>
    </xf>
    <xf numFmtId="0" fontId="6" fillId="0" borderId="0" xfId="0" applyFont="1" applyFill="1" applyBorder="1" applyAlignment="1">
      <alignment horizontal="center" vertical="center"/>
    </xf>
    <xf numFmtId="0" fontId="16" fillId="0" borderId="0" xfId="75" applyFont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 quotePrefix="1">
      <alignment/>
    </xf>
    <xf numFmtId="0" fontId="5" fillId="0" borderId="0" xfId="56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right"/>
    </xf>
    <xf numFmtId="44" fontId="6" fillId="0" borderId="0" xfId="0" applyNumberFormat="1" applyFont="1" applyBorder="1" applyAlignment="1">
      <alignment/>
    </xf>
    <xf numFmtId="0" fontId="56" fillId="0" borderId="0" xfId="0" applyFont="1" applyAlignment="1">
      <alignment horizontal="left"/>
    </xf>
    <xf numFmtId="16" fontId="6" fillId="0" borderId="18" xfId="0" applyNumberFormat="1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5" fillId="0" borderId="18" xfId="56" applyBorder="1" applyAlignment="1" applyProtection="1">
      <alignment horizontal="left"/>
      <protection locked="0"/>
    </xf>
    <xf numFmtId="0" fontId="5" fillId="0" borderId="19" xfId="56" applyBorder="1" applyAlignment="1" applyProtection="1">
      <alignment horizontal="left"/>
      <protection locked="0"/>
    </xf>
    <xf numFmtId="187" fontId="6" fillId="0" borderId="18" xfId="0" applyNumberFormat="1" applyFont="1" applyBorder="1" applyAlignment="1" applyProtection="1">
      <alignment horizontal="left" vertical="center"/>
      <protection locked="0"/>
    </xf>
    <xf numFmtId="187" fontId="6" fillId="0" borderId="19" xfId="0" applyNumberFormat="1" applyFont="1" applyBorder="1" applyAlignment="1" applyProtection="1">
      <alignment horizontal="left" vertical="center"/>
      <protection locked="0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8 2" xfId="69"/>
    <cellStyle name="Normal 19" xfId="70"/>
    <cellStyle name="Normal 19 2" xfId="71"/>
    <cellStyle name="Normal 2" xfId="72"/>
    <cellStyle name="Normal 2 2" xfId="73"/>
    <cellStyle name="Normal 20" xfId="74"/>
    <cellStyle name="Normal 20 2" xfId="75"/>
    <cellStyle name="Normal 20 3" xfId="76"/>
    <cellStyle name="Normal 21" xfId="77"/>
    <cellStyle name="Normal 21 2" xfId="78"/>
    <cellStyle name="Normal 21 3" xfId="79"/>
    <cellStyle name="Normal 22" xfId="80"/>
    <cellStyle name="Normal 23" xfId="81"/>
    <cellStyle name="Normal 23 2" xfId="82"/>
    <cellStyle name="Normal 23 3" xfId="83"/>
    <cellStyle name="Normal 24" xfId="84"/>
    <cellStyle name="Normal 25" xfId="85"/>
    <cellStyle name="Normal 25 2" xfId="86"/>
    <cellStyle name="Normal 26" xfId="87"/>
    <cellStyle name="Normal 27" xfId="88"/>
    <cellStyle name="Normal 28" xfId="89"/>
    <cellStyle name="Normal 29" xfId="90"/>
    <cellStyle name="Normal 3" xfId="91"/>
    <cellStyle name="Normal 30" xfId="92"/>
    <cellStyle name="Normal 31" xfId="93"/>
    <cellStyle name="Normal 31 2" xfId="94"/>
    <cellStyle name="Normal 32" xfId="95"/>
    <cellStyle name="Normal 33" xfId="96"/>
    <cellStyle name="Normal 34" xfId="97"/>
    <cellStyle name="Normal 35" xfId="98"/>
    <cellStyle name="Normal 35 2" xfId="99"/>
    <cellStyle name="Normal 36" xfId="100"/>
    <cellStyle name="Normal 37" xfId="101"/>
    <cellStyle name="Normal 38" xfId="102"/>
    <cellStyle name="Normal 39" xfId="103"/>
    <cellStyle name="Normal 4" xfId="104"/>
    <cellStyle name="Normal 4 2" xfId="105"/>
    <cellStyle name="Normal 4 3" xfId="106"/>
    <cellStyle name="Normal 4 4" xfId="107"/>
    <cellStyle name="Normal 40" xfId="108"/>
    <cellStyle name="Normal 5" xfId="109"/>
    <cellStyle name="Normal 6" xfId="110"/>
    <cellStyle name="Normal 7" xfId="111"/>
    <cellStyle name="Normal 8" xfId="112"/>
    <cellStyle name="Normal 9" xfId="113"/>
    <cellStyle name="Normal 9 2" xfId="114"/>
    <cellStyle name="Normal 9 3" xfId="115"/>
    <cellStyle name="Normal 9 4" xfId="116"/>
    <cellStyle name="Note" xfId="117"/>
    <cellStyle name="Output" xfId="118"/>
    <cellStyle name="Percent" xfId="119"/>
    <cellStyle name="Percent 2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714625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57150</xdr:colOff>
      <xdr:row>0</xdr:row>
      <xdr:rowOff>38100</xdr:rowOff>
    </xdr:from>
    <xdr:to>
      <xdr:col>7</xdr:col>
      <xdr:colOff>685800</xdr:colOff>
      <xdr:row>9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8100"/>
          <a:ext cx="1352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.E.Dick@p66.com" TargetMode="External" /><Relationship Id="rId2" Type="http://schemas.openxmlformats.org/officeDocument/2006/relationships/hyperlink" Target="mailto:SageVenture@yahoo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1"/>
  <sheetViews>
    <sheetView showRowColHeaders="0" tabSelected="1" workbookViewId="0" topLeftCell="A1">
      <selection activeCell="C9" sqref="C9:D9"/>
    </sheetView>
  </sheetViews>
  <sheetFormatPr defaultColWidth="9.140625" defaultRowHeight="12.75"/>
  <cols>
    <col min="1" max="1" width="3.00390625" style="5" customWidth="1"/>
    <col min="2" max="2" width="9.00390625" style="5" customWidth="1"/>
    <col min="3" max="3" width="15.140625" style="5" customWidth="1"/>
    <col min="4" max="4" width="29.00390625" style="5" customWidth="1"/>
    <col min="5" max="5" width="7.140625" style="5" customWidth="1"/>
    <col min="6" max="6" width="2.57421875" style="58" customWidth="1"/>
    <col min="7" max="8" width="10.8515625" style="5" customWidth="1"/>
    <col min="9" max="10" width="9.140625" style="5" customWidth="1"/>
    <col min="11" max="13" width="9.140625" style="5" hidden="1" customWidth="1"/>
    <col min="14" max="18" width="9.140625" style="5" customWidth="1"/>
    <col min="19" max="19" width="13.7109375" style="5" customWidth="1"/>
    <col min="20" max="22" width="9.140625" style="5" customWidth="1"/>
    <col min="23" max="16384" width="9.140625" style="5" customWidth="1"/>
  </cols>
  <sheetData>
    <row r="1" spans="1:8" ht="19.5">
      <c r="A1" s="1"/>
      <c r="B1" s="2" t="s">
        <v>0</v>
      </c>
      <c r="C1" s="3"/>
      <c r="D1" s="4"/>
      <c r="H1" s="6"/>
    </row>
    <row r="2" spans="1:8" ht="12.75">
      <c r="A2" s="1"/>
      <c r="B2" s="4" t="s">
        <v>368</v>
      </c>
      <c r="H2" s="7"/>
    </row>
    <row r="3" spans="1:4" ht="12.75">
      <c r="A3" s="1"/>
      <c r="B3" s="4" t="s">
        <v>369</v>
      </c>
      <c r="D3" s="8" t="s">
        <v>1</v>
      </c>
    </row>
    <row r="4" spans="1:4" ht="12.75">
      <c r="A4" s="1"/>
      <c r="B4" s="73" t="s">
        <v>351</v>
      </c>
      <c r="D4" s="8" t="s">
        <v>2</v>
      </c>
    </row>
    <row r="5" spans="1:8" ht="12.75">
      <c r="A5" s="1"/>
      <c r="B5" s="9"/>
      <c r="C5" s="10"/>
      <c r="D5" s="8" t="s">
        <v>3</v>
      </c>
      <c r="E5" s="11"/>
      <c r="F5" s="59"/>
      <c r="G5" s="12"/>
      <c r="H5" s="13"/>
    </row>
    <row r="6" spans="1:8" ht="6.75" customHeight="1">
      <c r="A6" s="1"/>
      <c r="B6" s="4"/>
      <c r="C6" s="10"/>
      <c r="D6" s="8"/>
      <c r="E6" s="11"/>
      <c r="F6" s="59"/>
      <c r="G6" s="12"/>
      <c r="H6" s="13"/>
    </row>
    <row r="7" spans="1:8" ht="12" customHeight="1">
      <c r="A7" s="1"/>
      <c r="B7" s="4"/>
      <c r="C7" s="14" t="s">
        <v>4</v>
      </c>
      <c r="D7" s="14"/>
      <c r="H7" s="7"/>
    </row>
    <row r="8" spans="1:16" ht="15" customHeight="1">
      <c r="A8" s="1"/>
      <c r="B8" s="15" t="s">
        <v>5</v>
      </c>
      <c r="E8" s="16"/>
      <c r="F8" s="60"/>
      <c r="P8" s="41"/>
    </row>
    <row r="9" spans="1:16" ht="15" customHeight="1">
      <c r="A9" s="1"/>
      <c r="B9" s="17" t="s">
        <v>6</v>
      </c>
      <c r="C9" s="74"/>
      <c r="D9" s="75"/>
      <c r="E9" s="15"/>
      <c r="F9" s="61"/>
      <c r="P9" s="34"/>
    </row>
    <row r="10" spans="1:6" ht="15" customHeight="1">
      <c r="A10" s="1"/>
      <c r="B10" s="17" t="s">
        <v>7</v>
      </c>
      <c r="C10" s="76"/>
      <c r="D10" s="75"/>
      <c r="E10" s="4"/>
      <c r="F10" s="62"/>
    </row>
    <row r="11" spans="1:8" ht="15" customHeight="1">
      <c r="A11" s="1"/>
      <c r="B11" s="17" t="s">
        <v>8</v>
      </c>
      <c r="C11" s="76"/>
      <c r="D11" s="75"/>
      <c r="E11" s="4"/>
      <c r="F11" s="62"/>
      <c r="G11" s="17" t="s">
        <v>99</v>
      </c>
      <c r="H11" s="55">
        <v>45400</v>
      </c>
    </row>
    <row r="12" spans="1:8" ht="15" customHeight="1">
      <c r="A12" s="1"/>
      <c r="B12" s="17" t="s">
        <v>25</v>
      </c>
      <c r="C12" s="76"/>
      <c r="D12" s="75"/>
      <c r="E12" s="4"/>
      <c r="F12" s="62"/>
      <c r="H12" s="65"/>
    </row>
    <row r="13" spans="1:8" ht="15" customHeight="1">
      <c r="A13" s="1"/>
      <c r="B13" s="17" t="s">
        <v>9</v>
      </c>
      <c r="C13" s="77"/>
      <c r="D13" s="78"/>
      <c r="E13" s="4"/>
      <c r="F13" s="62"/>
      <c r="G13" s="31"/>
      <c r="H13" s="70" t="s">
        <v>332</v>
      </c>
    </row>
    <row r="14" spans="1:8" ht="15" customHeight="1">
      <c r="A14" s="1"/>
      <c r="B14" s="17" t="s">
        <v>10</v>
      </c>
      <c r="C14" s="79"/>
      <c r="D14" s="80"/>
      <c r="E14" s="4"/>
      <c r="F14" s="62"/>
      <c r="H14" s="20" t="s">
        <v>189</v>
      </c>
    </row>
    <row r="15" ht="6.75" customHeight="1">
      <c r="A15" s="1"/>
    </row>
    <row r="16" spans="1:8" ht="12.75">
      <c r="A16" s="18"/>
      <c r="B16" s="56" t="s">
        <v>117</v>
      </c>
      <c r="C16" s="19"/>
      <c r="D16" s="19"/>
      <c r="E16" s="56" t="s">
        <v>11</v>
      </c>
      <c r="F16" s="63"/>
      <c r="G16" s="57" t="s">
        <v>12</v>
      </c>
      <c r="H16" s="57" t="s">
        <v>13</v>
      </c>
    </row>
    <row r="17" spans="1:13" ht="15" customHeight="1">
      <c r="A17" s="20"/>
      <c r="B17" s="45" t="s">
        <v>29</v>
      </c>
      <c r="C17" s="46"/>
      <c r="D17" s="42"/>
      <c r="E17" s="44"/>
      <c r="F17" s="64"/>
      <c r="G17" s="23"/>
      <c r="H17" s="50"/>
      <c r="K17" s="1" t="s">
        <v>307</v>
      </c>
      <c r="L17" s="1" t="s">
        <v>308</v>
      </c>
      <c r="M17" s="1" t="s">
        <v>309</v>
      </c>
    </row>
    <row r="18" spans="1:12" ht="15" customHeight="1">
      <c r="A18" s="20"/>
      <c r="B18" s="43" t="s">
        <v>79</v>
      </c>
      <c r="C18" s="42" t="s">
        <v>14</v>
      </c>
      <c r="D18" s="42"/>
      <c r="E18" s="22"/>
      <c r="F18" s="64">
        <f aca="true" t="shared" si="0" ref="F18:F32">IF(E18&gt;B18,"?","")</f>
      </c>
      <c r="G18" s="23">
        <v>2.5</v>
      </c>
      <c r="H18" s="30">
        <f>E18*G18</f>
        <v>0</v>
      </c>
      <c r="K18" s="5">
        <v>18</v>
      </c>
      <c r="L18" s="5">
        <f aca="true" t="shared" si="1" ref="L18:L41">E18/K18</f>
        <v>0</v>
      </c>
    </row>
    <row r="19" spans="1:12" ht="15" customHeight="1">
      <c r="A19" s="20"/>
      <c r="B19" s="43" t="s">
        <v>79</v>
      </c>
      <c r="C19" s="42" t="s">
        <v>30</v>
      </c>
      <c r="D19" s="42"/>
      <c r="E19" s="22"/>
      <c r="F19" s="64">
        <f t="shared" si="0"/>
      </c>
      <c r="G19" s="23">
        <v>2.5</v>
      </c>
      <c r="H19" s="30">
        <f>E19*G19</f>
        <v>0</v>
      </c>
      <c r="K19" s="5">
        <v>18</v>
      </c>
      <c r="L19" s="5">
        <f t="shared" si="1"/>
        <v>0</v>
      </c>
    </row>
    <row r="20" spans="1:12" ht="15" customHeight="1">
      <c r="A20" s="20"/>
      <c r="B20" s="43">
        <f>3-2</f>
        <v>1</v>
      </c>
      <c r="C20" s="42" t="s">
        <v>250</v>
      </c>
      <c r="D20" s="42"/>
      <c r="E20" s="22"/>
      <c r="F20" s="64">
        <f t="shared" si="0"/>
      </c>
      <c r="G20" s="23">
        <v>5</v>
      </c>
      <c r="H20" s="30">
        <f aca="true" t="shared" si="2" ref="H20:H33">MIN(IF(E20="",0,E20),B20)*G20</f>
        <v>0</v>
      </c>
      <c r="K20" s="5">
        <v>18</v>
      </c>
      <c r="L20" s="5">
        <f t="shared" si="1"/>
        <v>0</v>
      </c>
    </row>
    <row r="21" spans="1:12" ht="15" customHeight="1" hidden="1">
      <c r="A21" s="20"/>
      <c r="B21" s="43">
        <f>2-1-1</f>
        <v>0</v>
      </c>
      <c r="C21" s="42" t="s">
        <v>251</v>
      </c>
      <c r="D21" s="42"/>
      <c r="E21" s="22"/>
      <c r="F21" s="64">
        <f t="shared" si="0"/>
      </c>
      <c r="G21" s="23">
        <v>5</v>
      </c>
      <c r="H21" s="30">
        <f t="shared" si="2"/>
        <v>0</v>
      </c>
      <c r="K21" s="5">
        <v>18</v>
      </c>
      <c r="L21" s="5">
        <f t="shared" si="1"/>
        <v>0</v>
      </c>
    </row>
    <row r="22" spans="1:12" ht="15" customHeight="1">
      <c r="A22" s="20"/>
      <c r="B22" s="43">
        <v>2</v>
      </c>
      <c r="C22" s="42" t="s">
        <v>248</v>
      </c>
      <c r="D22" s="42"/>
      <c r="E22" s="22"/>
      <c r="F22" s="64">
        <f t="shared" si="0"/>
      </c>
      <c r="G22" s="23">
        <v>5</v>
      </c>
      <c r="H22" s="30">
        <f t="shared" si="2"/>
        <v>0</v>
      </c>
      <c r="K22" s="5">
        <v>18</v>
      </c>
      <c r="L22" s="5">
        <f t="shared" si="1"/>
        <v>0</v>
      </c>
    </row>
    <row r="23" spans="1:12" ht="15" customHeight="1" hidden="1">
      <c r="A23" s="20"/>
      <c r="B23" s="43">
        <f>2-2</f>
        <v>0</v>
      </c>
      <c r="C23" s="42" t="s">
        <v>249</v>
      </c>
      <c r="D23" s="42"/>
      <c r="E23" s="22"/>
      <c r="F23" s="64">
        <f t="shared" si="0"/>
      </c>
      <c r="G23" s="23">
        <v>5</v>
      </c>
      <c r="H23" s="30">
        <f t="shared" si="2"/>
        <v>0</v>
      </c>
      <c r="K23" s="5">
        <v>18</v>
      </c>
      <c r="L23" s="5">
        <f t="shared" si="1"/>
        <v>0</v>
      </c>
    </row>
    <row r="24" spans="1:12" ht="15" customHeight="1">
      <c r="A24" s="20"/>
      <c r="B24" s="43">
        <f>20+48-5-3-1-2-1-2-1-1-1-1-1-1-(16)+32</f>
        <v>64</v>
      </c>
      <c r="C24" s="42" t="s">
        <v>15</v>
      </c>
      <c r="D24" s="20"/>
      <c r="E24" s="24"/>
      <c r="F24" s="64">
        <f t="shared" si="0"/>
      </c>
      <c r="G24" s="23">
        <v>2.5</v>
      </c>
      <c r="H24" s="30">
        <f>MIN(IF(E24="",0,E24),B24)*G24</f>
        <v>0</v>
      </c>
      <c r="K24" s="5">
        <v>18</v>
      </c>
      <c r="L24" s="5">
        <f t="shared" si="1"/>
        <v>0</v>
      </c>
    </row>
    <row r="25" spans="1:12" ht="15" customHeight="1">
      <c r="A25" s="20"/>
      <c r="B25" s="43" t="s">
        <v>79</v>
      </c>
      <c r="C25" s="42" t="s">
        <v>16</v>
      </c>
      <c r="D25" s="20"/>
      <c r="E25" s="24"/>
      <c r="F25" s="64">
        <f t="shared" si="0"/>
      </c>
      <c r="G25" s="23">
        <v>2.5</v>
      </c>
      <c r="H25" s="30">
        <f t="shared" si="2"/>
        <v>0</v>
      </c>
      <c r="K25" s="5">
        <v>18</v>
      </c>
      <c r="L25" s="5">
        <f t="shared" si="1"/>
        <v>0</v>
      </c>
    </row>
    <row r="26" spans="1:12" ht="15" customHeight="1">
      <c r="A26" s="20"/>
      <c r="B26" s="43" t="s">
        <v>79</v>
      </c>
      <c r="C26" s="42" t="s">
        <v>17</v>
      </c>
      <c r="D26" s="20"/>
      <c r="E26" s="24"/>
      <c r="F26" s="64">
        <f t="shared" si="0"/>
      </c>
      <c r="G26" s="23">
        <v>2.5</v>
      </c>
      <c r="H26" s="30">
        <f>MIN(IF(E26="",0,E26),B26)*G26</f>
        <v>0</v>
      </c>
      <c r="K26" s="5">
        <v>18</v>
      </c>
      <c r="L26" s="5">
        <f t="shared" si="1"/>
        <v>0</v>
      </c>
    </row>
    <row r="27" spans="1:12" ht="15" customHeight="1">
      <c r="A27" s="20"/>
      <c r="B27" s="43">
        <f>15-1-1-1-3-5+(48)-1-1-1-1-1-2-(4)-2-2-1-1-2-1-1-1</f>
        <v>30</v>
      </c>
      <c r="C27" s="42" t="s">
        <v>28</v>
      </c>
      <c r="D27" s="20"/>
      <c r="E27" s="24"/>
      <c r="F27" s="64">
        <f t="shared" si="0"/>
      </c>
      <c r="G27" s="23">
        <v>3</v>
      </c>
      <c r="H27" s="30">
        <f t="shared" si="2"/>
        <v>0</v>
      </c>
      <c r="K27" s="5">
        <v>18</v>
      </c>
      <c r="L27" s="5">
        <f t="shared" si="1"/>
        <v>0</v>
      </c>
    </row>
    <row r="28" spans="1:12" ht="15" customHeight="1">
      <c r="A28" s="20"/>
      <c r="B28" s="43" t="s">
        <v>79</v>
      </c>
      <c r="C28" s="42" t="s">
        <v>18</v>
      </c>
      <c r="D28" s="71"/>
      <c r="E28" s="22"/>
      <c r="F28" s="64">
        <f t="shared" si="0"/>
      </c>
      <c r="G28" s="23">
        <v>2.5</v>
      </c>
      <c r="H28" s="30">
        <f t="shared" si="2"/>
        <v>0</v>
      </c>
      <c r="K28" s="5">
        <v>18</v>
      </c>
      <c r="L28" s="5">
        <f t="shared" si="1"/>
        <v>0</v>
      </c>
    </row>
    <row r="29" spans="1:12" ht="15" customHeight="1">
      <c r="A29" s="20"/>
      <c r="B29" s="43">
        <f>17-2-2-1-2-1-(1)+51</f>
        <v>59</v>
      </c>
      <c r="C29" s="42" t="s">
        <v>19</v>
      </c>
      <c r="D29" s="42"/>
      <c r="E29" s="24"/>
      <c r="F29" s="64">
        <f t="shared" si="0"/>
      </c>
      <c r="G29" s="23">
        <v>2.5</v>
      </c>
      <c r="H29" s="30">
        <f t="shared" si="2"/>
        <v>0</v>
      </c>
      <c r="K29" s="5">
        <v>18</v>
      </c>
      <c r="L29" s="5">
        <f t="shared" si="1"/>
        <v>0</v>
      </c>
    </row>
    <row r="30" spans="1:12" ht="15" customHeight="1">
      <c r="A30" s="20"/>
      <c r="B30" s="43">
        <f>42-9-2-4-1-4-3+(5)-4-1-(2)-2</f>
        <v>15</v>
      </c>
      <c r="C30" s="42" t="s">
        <v>20</v>
      </c>
      <c r="D30" s="42"/>
      <c r="E30" s="24"/>
      <c r="F30" s="64">
        <f t="shared" si="0"/>
      </c>
      <c r="G30" s="23">
        <v>2.5</v>
      </c>
      <c r="H30" s="30">
        <f t="shared" si="2"/>
        <v>0</v>
      </c>
      <c r="K30" s="5">
        <v>18</v>
      </c>
      <c r="L30" s="5">
        <f t="shared" si="1"/>
        <v>0</v>
      </c>
    </row>
    <row r="31" spans="1:12" ht="15" customHeight="1">
      <c r="A31" s="20"/>
      <c r="B31" s="43">
        <f>36-1-1-1-1-1-1-4-2-1-2-2-4-1-1-7+13-1-(3)-(2)+31</f>
        <v>44</v>
      </c>
      <c r="C31" s="42" t="s">
        <v>38</v>
      </c>
      <c r="D31" s="20"/>
      <c r="E31" s="24"/>
      <c r="F31" s="64">
        <f t="shared" si="0"/>
      </c>
      <c r="G31" s="23">
        <v>3</v>
      </c>
      <c r="H31" s="30">
        <f t="shared" si="2"/>
        <v>0</v>
      </c>
      <c r="K31" s="5">
        <v>18</v>
      </c>
      <c r="L31" s="5">
        <f t="shared" si="1"/>
        <v>0</v>
      </c>
    </row>
    <row r="32" spans="1:12" ht="15" customHeight="1" hidden="1">
      <c r="A32" s="20"/>
      <c r="B32" s="43">
        <f>8-3-(2)-3</f>
        <v>0</v>
      </c>
      <c r="C32" s="42" t="s">
        <v>32</v>
      </c>
      <c r="D32" s="42" t="s">
        <v>33</v>
      </c>
      <c r="E32" s="24"/>
      <c r="F32" s="64">
        <f t="shared" si="0"/>
      </c>
      <c r="G32" s="23">
        <v>2</v>
      </c>
      <c r="H32" s="30">
        <f t="shared" si="2"/>
        <v>0</v>
      </c>
      <c r="K32" s="5">
        <v>18</v>
      </c>
      <c r="L32" s="5">
        <f t="shared" si="1"/>
        <v>0</v>
      </c>
    </row>
    <row r="33" spans="1:12" ht="15" customHeight="1">
      <c r="A33" s="20"/>
      <c r="B33" s="43">
        <v>5</v>
      </c>
      <c r="C33" s="42" t="s">
        <v>32</v>
      </c>
      <c r="D33" s="42" t="s">
        <v>91</v>
      </c>
      <c r="E33" s="24"/>
      <c r="F33" s="64">
        <f aca="true" t="shared" si="3" ref="F33:F125">IF(E33&gt;B33,"?","")</f>
      </c>
      <c r="G33" s="23">
        <v>5</v>
      </c>
      <c r="H33" s="30">
        <f t="shared" si="2"/>
        <v>0</v>
      </c>
      <c r="K33" s="5">
        <v>18</v>
      </c>
      <c r="L33" s="5">
        <f t="shared" si="1"/>
        <v>0</v>
      </c>
    </row>
    <row r="34" spans="1:12" ht="15" customHeight="1" hidden="1">
      <c r="A34" s="20"/>
      <c r="B34" s="43">
        <f>1-1</f>
        <v>0</v>
      </c>
      <c r="C34" s="42" t="s">
        <v>34</v>
      </c>
      <c r="D34" s="20"/>
      <c r="E34" s="24"/>
      <c r="F34" s="64">
        <f t="shared" si="3"/>
      </c>
      <c r="G34" s="23">
        <v>5</v>
      </c>
      <c r="H34" s="30">
        <f>E34*G34</f>
        <v>0</v>
      </c>
      <c r="K34" s="5">
        <v>18</v>
      </c>
      <c r="L34" s="5">
        <f t="shared" si="1"/>
        <v>0</v>
      </c>
    </row>
    <row r="35" spans="1:12" ht="15" customHeight="1">
      <c r="A35" s="20"/>
      <c r="B35" s="43">
        <f>13-1-(6)-1</f>
        <v>5</v>
      </c>
      <c r="C35" s="42" t="s">
        <v>35</v>
      </c>
      <c r="D35" s="20"/>
      <c r="E35" s="24"/>
      <c r="F35" s="64">
        <f t="shared" si="3"/>
      </c>
      <c r="G35" s="23">
        <v>5</v>
      </c>
      <c r="H35" s="30">
        <f aca="true" t="shared" si="4" ref="H35:H41">MIN(IF(E35="",0,E35),B35)*G35</f>
        <v>0</v>
      </c>
      <c r="K35" s="5">
        <v>18</v>
      </c>
      <c r="L35" s="5">
        <f t="shared" si="1"/>
        <v>0</v>
      </c>
    </row>
    <row r="36" spans="1:12" ht="15" customHeight="1">
      <c r="A36" s="20"/>
      <c r="B36" s="43">
        <f>11-2+(2)</f>
        <v>11</v>
      </c>
      <c r="C36" s="42" t="s">
        <v>36</v>
      </c>
      <c r="D36" s="20"/>
      <c r="E36" s="24"/>
      <c r="F36" s="64">
        <f t="shared" si="3"/>
      </c>
      <c r="G36" s="23">
        <v>5</v>
      </c>
      <c r="H36" s="30">
        <f t="shared" si="4"/>
        <v>0</v>
      </c>
      <c r="K36" s="5">
        <v>18</v>
      </c>
      <c r="L36" s="5">
        <f t="shared" si="1"/>
        <v>0</v>
      </c>
    </row>
    <row r="37" spans="1:12" ht="15" customHeight="1">
      <c r="A37" s="20"/>
      <c r="B37" s="43">
        <f>16-1-1-1-7-1</f>
        <v>5</v>
      </c>
      <c r="C37" s="42" t="s">
        <v>24</v>
      </c>
      <c r="D37" s="42"/>
      <c r="E37" s="24"/>
      <c r="F37" s="64">
        <f>IF(E37&gt;B37,"?","")</f>
      </c>
      <c r="G37" s="23">
        <v>5</v>
      </c>
      <c r="H37" s="30">
        <f>MIN(IF(E37="",0,E37),B37)*G37</f>
        <v>0</v>
      </c>
      <c r="K37" s="5">
        <v>18</v>
      </c>
      <c r="L37" s="5">
        <f t="shared" si="1"/>
        <v>0</v>
      </c>
    </row>
    <row r="38" spans="1:12" ht="15" customHeight="1">
      <c r="A38" s="20"/>
      <c r="B38" s="43">
        <v>5</v>
      </c>
      <c r="C38" s="42" t="s">
        <v>37</v>
      </c>
      <c r="D38" s="20"/>
      <c r="E38" s="24"/>
      <c r="F38" s="64">
        <f t="shared" si="3"/>
      </c>
      <c r="G38" s="23">
        <v>5</v>
      </c>
      <c r="H38" s="30">
        <f t="shared" si="4"/>
        <v>0</v>
      </c>
      <c r="K38" s="5">
        <v>18</v>
      </c>
      <c r="L38" s="5">
        <f t="shared" si="1"/>
        <v>0</v>
      </c>
    </row>
    <row r="39" spans="1:12" ht="15" customHeight="1" hidden="1">
      <c r="A39" s="20"/>
      <c r="B39" s="43">
        <v>0</v>
      </c>
      <c r="C39" s="42" t="s">
        <v>144</v>
      </c>
      <c r="D39" s="20"/>
      <c r="E39" s="24"/>
      <c r="F39" s="64">
        <f>IF(E39&gt;B39,"?","")</f>
      </c>
      <c r="G39" s="23">
        <v>3</v>
      </c>
      <c r="H39" s="30">
        <f t="shared" si="4"/>
        <v>0</v>
      </c>
      <c r="K39" s="5">
        <v>18</v>
      </c>
      <c r="L39" s="5">
        <f t="shared" si="1"/>
        <v>0</v>
      </c>
    </row>
    <row r="40" spans="1:12" ht="15" customHeight="1">
      <c r="A40" s="20"/>
      <c r="B40" s="43">
        <f>7-2</f>
        <v>5</v>
      </c>
      <c r="C40" s="42" t="s">
        <v>127</v>
      </c>
      <c r="D40" s="20"/>
      <c r="E40" s="24"/>
      <c r="F40" s="64">
        <f t="shared" si="3"/>
      </c>
      <c r="G40" s="23">
        <v>5</v>
      </c>
      <c r="H40" s="30">
        <f t="shared" si="4"/>
        <v>0</v>
      </c>
      <c r="K40" s="5">
        <v>18</v>
      </c>
      <c r="L40" s="5">
        <f t="shared" si="1"/>
        <v>0</v>
      </c>
    </row>
    <row r="41" spans="1:12" ht="15" customHeight="1" hidden="1">
      <c r="A41" s="20"/>
      <c r="B41" s="43">
        <f>14-6-1-4-3+7-1-2+(1)-3-(1)-1+16-(8)-3-2-3</f>
        <v>0</v>
      </c>
      <c r="C41" s="42" t="s">
        <v>142</v>
      </c>
      <c r="D41" s="71"/>
      <c r="E41" s="24"/>
      <c r="F41" s="64">
        <f>IF(E41&gt;B41,"?","")</f>
      </c>
      <c r="G41" s="23">
        <v>2.5</v>
      </c>
      <c r="H41" s="30">
        <f t="shared" si="4"/>
        <v>0</v>
      </c>
      <c r="K41" s="5">
        <v>18</v>
      </c>
      <c r="L41" s="5">
        <f t="shared" si="1"/>
        <v>0</v>
      </c>
    </row>
    <row r="42" spans="1:8" ht="15" customHeight="1">
      <c r="A42" s="20"/>
      <c r="B42" s="45" t="s">
        <v>263</v>
      </c>
      <c r="C42" s="46"/>
      <c r="D42" s="42" t="s">
        <v>310</v>
      </c>
      <c r="E42" s="44"/>
      <c r="F42" s="64"/>
      <c r="G42" s="23"/>
      <c r="H42" s="30"/>
    </row>
    <row r="43" spans="1:12" ht="15" customHeight="1" hidden="1">
      <c r="A43" s="20"/>
      <c r="B43" s="43">
        <f>21-1-3-1-2-2-1+1-3-2-(3)-1-2-1</f>
        <v>0</v>
      </c>
      <c r="C43" s="42" t="s">
        <v>14</v>
      </c>
      <c r="D43" s="42"/>
      <c r="E43" s="22"/>
      <c r="F43" s="64">
        <f t="shared" si="3"/>
      </c>
      <c r="G43" s="23">
        <v>3</v>
      </c>
      <c r="H43" s="30">
        <f>E43*G43</f>
        <v>0</v>
      </c>
      <c r="K43" s="5">
        <v>18</v>
      </c>
      <c r="L43" s="5">
        <f aca="true" t="shared" si="5" ref="L43:L72">E43/K43</f>
        <v>0</v>
      </c>
    </row>
    <row r="44" spans="1:12" ht="15" customHeight="1">
      <c r="A44" s="20"/>
      <c r="B44" s="43">
        <f>20-2-1-3+3+1-3-1-(3)-1-2-4</f>
        <v>4</v>
      </c>
      <c r="C44" s="42" t="s">
        <v>18</v>
      </c>
      <c r="D44" s="20"/>
      <c r="E44" s="22"/>
      <c r="F44" s="64">
        <f t="shared" si="3"/>
      </c>
      <c r="G44" s="23">
        <v>3</v>
      </c>
      <c r="H44" s="30">
        <f>MIN(IF(E44="",0,E44),B44)*G44</f>
        <v>0</v>
      </c>
      <c r="K44" s="5">
        <v>18</v>
      </c>
      <c r="L44" s="5">
        <f t="shared" si="5"/>
        <v>0</v>
      </c>
    </row>
    <row r="45" spans="1:12" ht="15" customHeight="1">
      <c r="A45" s="20"/>
      <c r="B45" s="45" t="s">
        <v>39</v>
      </c>
      <c r="C45" s="46"/>
      <c r="D45" s="20"/>
      <c r="E45" s="44"/>
      <c r="F45" s="64">
        <f t="shared" si="3"/>
      </c>
      <c r="G45" s="23"/>
      <c r="H45" s="49"/>
      <c r="K45" s="5">
        <v>18</v>
      </c>
      <c r="L45" s="5">
        <f t="shared" si="5"/>
        <v>0</v>
      </c>
    </row>
    <row r="46" spans="1:12" ht="15" customHeight="1">
      <c r="A46" s="20"/>
      <c r="B46" s="43">
        <f>14-1-1</f>
        <v>12</v>
      </c>
      <c r="C46" s="42" t="s">
        <v>14</v>
      </c>
      <c r="D46" s="20"/>
      <c r="E46" s="24"/>
      <c r="F46" s="64">
        <f t="shared" si="3"/>
      </c>
      <c r="G46" s="23">
        <v>3</v>
      </c>
      <c r="H46" s="30">
        <f aca="true" t="shared" si="6" ref="H46:H52">MIN(IF(E46="",0,E46),B46)*G46</f>
        <v>0</v>
      </c>
      <c r="K46" s="5">
        <v>18</v>
      </c>
      <c r="L46" s="5">
        <f t="shared" si="5"/>
        <v>0</v>
      </c>
    </row>
    <row r="47" spans="1:12" ht="15" customHeight="1">
      <c r="A47" s="20"/>
      <c r="B47" s="43">
        <f>4+14-2-1-1-1-1</f>
        <v>12</v>
      </c>
      <c r="C47" s="42" t="s">
        <v>30</v>
      </c>
      <c r="D47" s="42"/>
      <c r="E47" s="24"/>
      <c r="F47" s="64">
        <f t="shared" si="3"/>
      </c>
      <c r="G47" s="23">
        <v>4</v>
      </c>
      <c r="H47" s="30">
        <f t="shared" si="6"/>
        <v>0</v>
      </c>
      <c r="K47" s="5">
        <v>18</v>
      </c>
      <c r="L47" s="5">
        <f t="shared" si="5"/>
        <v>0</v>
      </c>
    </row>
    <row r="48" spans="1:12" ht="15" customHeight="1">
      <c r="A48" s="20"/>
      <c r="B48" s="43">
        <v>4</v>
      </c>
      <c r="C48" s="42" t="s">
        <v>250</v>
      </c>
      <c r="D48" s="42"/>
      <c r="E48" s="22"/>
      <c r="F48" s="64">
        <f t="shared" si="3"/>
      </c>
      <c r="G48" s="23">
        <v>5</v>
      </c>
      <c r="H48" s="30">
        <f t="shared" si="6"/>
        <v>0</v>
      </c>
      <c r="K48" s="5">
        <v>18</v>
      </c>
      <c r="L48" s="5">
        <f t="shared" si="5"/>
        <v>0</v>
      </c>
    </row>
    <row r="49" spans="1:12" ht="15" customHeight="1">
      <c r="A49" s="20"/>
      <c r="B49" s="43">
        <f>22-1</f>
        <v>21</v>
      </c>
      <c r="C49" s="42" t="s">
        <v>251</v>
      </c>
      <c r="D49" s="42"/>
      <c r="E49" s="22"/>
      <c r="F49" s="64">
        <f t="shared" si="3"/>
      </c>
      <c r="G49" s="23">
        <v>5</v>
      </c>
      <c r="H49" s="30">
        <f t="shared" si="6"/>
        <v>0</v>
      </c>
      <c r="K49" s="5">
        <v>18</v>
      </c>
      <c r="L49" s="5">
        <f t="shared" si="5"/>
        <v>0</v>
      </c>
    </row>
    <row r="50" spans="1:12" ht="15" customHeight="1">
      <c r="A50" s="20"/>
      <c r="B50" s="43">
        <v>4</v>
      </c>
      <c r="C50" s="42" t="s">
        <v>248</v>
      </c>
      <c r="D50" s="42"/>
      <c r="E50" s="22"/>
      <c r="F50" s="64">
        <f t="shared" si="3"/>
      </c>
      <c r="G50" s="23">
        <v>5</v>
      </c>
      <c r="H50" s="30">
        <f t="shared" si="6"/>
        <v>0</v>
      </c>
      <c r="K50" s="5">
        <v>18</v>
      </c>
      <c r="L50" s="5">
        <f t="shared" si="5"/>
        <v>0</v>
      </c>
    </row>
    <row r="51" spans="1:12" ht="15" customHeight="1" hidden="1">
      <c r="A51" s="20"/>
      <c r="B51" s="43">
        <v>0</v>
      </c>
      <c r="C51" s="42" t="s">
        <v>249</v>
      </c>
      <c r="D51" s="42"/>
      <c r="E51" s="22"/>
      <c r="F51" s="64">
        <f t="shared" si="3"/>
      </c>
      <c r="G51" s="23">
        <v>5</v>
      </c>
      <c r="H51" s="30">
        <f t="shared" si="6"/>
        <v>0</v>
      </c>
      <c r="K51" s="5">
        <v>18</v>
      </c>
      <c r="L51" s="5">
        <f t="shared" si="5"/>
        <v>0</v>
      </c>
    </row>
    <row r="52" spans="1:12" ht="15" customHeight="1" hidden="1">
      <c r="A52" s="20"/>
      <c r="B52" s="43">
        <f>1-1</f>
        <v>0</v>
      </c>
      <c r="C52" s="42" t="s">
        <v>255</v>
      </c>
      <c r="D52" s="42"/>
      <c r="E52" s="22"/>
      <c r="F52" s="64">
        <f>IF(E52&gt;B52,"?","")</f>
      </c>
      <c r="G52" s="23">
        <v>4</v>
      </c>
      <c r="H52" s="30">
        <f t="shared" si="6"/>
        <v>0</v>
      </c>
      <c r="K52" s="5">
        <v>18</v>
      </c>
      <c r="L52" s="5">
        <f t="shared" si="5"/>
        <v>0</v>
      </c>
    </row>
    <row r="53" spans="1:12" ht="15" customHeight="1" hidden="1">
      <c r="A53" s="20"/>
      <c r="B53" s="43">
        <v>0</v>
      </c>
      <c r="C53" s="42" t="s">
        <v>73</v>
      </c>
      <c r="D53" s="42"/>
      <c r="E53" s="24"/>
      <c r="F53" s="64">
        <f>IF(E53&gt;B53,"?","")</f>
      </c>
      <c r="G53" s="23">
        <v>3</v>
      </c>
      <c r="H53" s="30">
        <f aca="true" t="shared" si="7" ref="H53:H66">MIN(IF(E53="",0,E53),B53)*G53</f>
        <v>0</v>
      </c>
      <c r="K53" s="5">
        <v>18</v>
      </c>
      <c r="L53" s="5">
        <f t="shared" si="5"/>
        <v>0</v>
      </c>
    </row>
    <row r="54" spans="1:12" ht="15" customHeight="1" hidden="1">
      <c r="A54" s="20"/>
      <c r="B54" s="43">
        <v>0</v>
      </c>
      <c r="C54" s="42" t="s">
        <v>46</v>
      </c>
      <c r="D54" s="42"/>
      <c r="E54" s="24"/>
      <c r="F54" s="64">
        <f>IF(E54&gt;B54,"?","")</f>
      </c>
      <c r="G54" s="23">
        <v>3</v>
      </c>
      <c r="H54" s="30">
        <f t="shared" si="7"/>
        <v>0</v>
      </c>
      <c r="K54" s="5">
        <v>18</v>
      </c>
      <c r="L54" s="5">
        <f t="shared" si="5"/>
        <v>0</v>
      </c>
    </row>
    <row r="55" spans="1:12" ht="15" customHeight="1" hidden="1">
      <c r="A55" s="20"/>
      <c r="B55" s="43">
        <v>0</v>
      </c>
      <c r="C55" s="42" t="s">
        <v>68</v>
      </c>
      <c r="D55" s="42"/>
      <c r="E55" s="24"/>
      <c r="F55" s="64">
        <f t="shared" si="3"/>
      </c>
      <c r="G55" s="23">
        <v>3</v>
      </c>
      <c r="H55" s="30">
        <f t="shared" si="7"/>
        <v>0</v>
      </c>
      <c r="K55" s="5">
        <v>18</v>
      </c>
      <c r="L55" s="5">
        <f t="shared" si="5"/>
        <v>0</v>
      </c>
    </row>
    <row r="56" spans="1:12" ht="15" customHeight="1" hidden="1">
      <c r="A56" s="20"/>
      <c r="B56" s="43">
        <f>1-1</f>
        <v>0</v>
      </c>
      <c r="C56" s="42" t="s">
        <v>112</v>
      </c>
      <c r="D56" s="42"/>
      <c r="E56" s="24"/>
      <c r="F56" s="64">
        <f t="shared" si="3"/>
      </c>
      <c r="G56" s="23">
        <v>3</v>
      </c>
      <c r="H56" s="30">
        <f t="shared" si="7"/>
        <v>0</v>
      </c>
      <c r="K56" s="5">
        <v>18</v>
      </c>
      <c r="L56" s="5">
        <f t="shared" si="5"/>
        <v>0</v>
      </c>
    </row>
    <row r="57" spans="1:12" ht="15" customHeight="1" hidden="1">
      <c r="A57" s="20"/>
      <c r="B57" s="43">
        <v>0</v>
      </c>
      <c r="C57" s="42" t="s">
        <v>34</v>
      </c>
      <c r="D57" s="20"/>
      <c r="E57" s="24"/>
      <c r="F57" s="64">
        <f>IF(E57&gt;B57,"?","")</f>
      </c>
      <c r="G57" s="23">
        <v>5</v>
      </c>
      <c r="H57" s="30">
        <f t="shared" si="7"/>
        <v>0</v>
      </c>
      <c r="K57" s="5">
        <v>18</v>
      </c>
      <c r="L57" s="5">
        <f t="shared" si="5"/>
        <v>0</v>
      </c>
    </row>
    <row r="58" spans="1:12" ht="15" customHeight="1" hidden="1">
      <c r="A58" s="20"/>
      <c r="B58" s="43">
        <v>0</v>
      </c>
      <c r="C58" s="42" t="s">
        <v>123</v>
      </c>
      <c r="D58" s="42"/>
      <c r="E58" s="24"/>
      <c r="F58" s="64">
        <f t="shared" si="3"/>
      </c>
      <c r="G58" s="23">
        <v>3</v>
      </c>
      <c r="H58" s="30">
        <f t="shared" si="7"/>
        <v>0</v>
      </c>
      <c r="K58" s="5">
        <v>18</v>
      </c>
      <c r="L58" s="5">
        <f t="shared" si="5"/>
        <v>0</v>
      </c>
    </row>
    <row r="59" spans="1:12" ht="15" customHeight="1">
      <c r="A59" s="20"/>
      <c r="B59" s="43">
        <f>17-1+2-1-1-1</f>
        <v>15</v>
      </c>
      <c r="C59" s="42" t="s">
        <v>18</v>
      </c>
      <c r="D59" s="42"/>
      <c r="E59" s="24"/>
      <c r="F59" s="64">
        <f>IF(E59&gt;B59,"?","")</f>
      </c>
      <c r="G59" s="23">
        <v>3</v>
      </c>
      <c r="H59" s="30">
        <f>MIN(IF(E59="",0,E59),B59)*G59</f>
        <v>0</v>
      </c>
      <c r="K59" s="5">
        <v>18</v>
      </c>
      <c r="L59" s="5">
        <f t="shared" si="5"/>
        <v>0</v>
      </c>
    </row>
    <row r="60" spans="1:12" ht="15" customHeight="1">
      <c r="A60" s="20"/>
      <c r="B60" s="43">
        <f>16-1-1+(2)</f>
        <v>16</v>
      </c>
      <c r="C60" s="42" t="s">
        <v>16</v>
      </c>
      <c r="D60" s="42"/>
      <c r="E60" s="24"/>
      <c r="F60" s="64">
        <f>IF(E60&gt;B60,"?","")</f>
      </c>
      <c r="G60" s="23">
        <v>3</v>
      </c>
      <c r="H60" s="30">
        <f>MIN(IF(E60="",0,E60),B60)*G60</f>
        <v>0</v>
      </c>
      <c r="K60" s="5">
        <v>18</v>
      </c>
      <c r="L60" s="5">
        <f t="shared" si="5"/>
        <v>0</v>
      </c>
    </row>
    <row r="61" spans="1:12" ht="15" customHeight="1">
      <c r="A61" s="20"/>
      <c r="B61" s="43">
        <f>36-2+2-1-1-(17)</f>
        <v>17</v>
      </c>
      <c r="C61" s="42" t="s">
        <v>15</v>
      </c>
      <c r="D61" s="42"/>
      <c r="E61" s="24"/>
      <c r="F61" s="64">
        <f>IF(E61&gt;B61,"?","")</f>
      </c>
      <c r="G61" s="23">
        <v>3</v>
      </c>
      <c r="H61" s="30">
        <f>MIN(IF(E61="",0,E61),B61)*G61</f>
        <v>0</v>
      </c>
      <c r="K61" s="5">
        <v>18</v>
      </c>
      <c r="L61" s="5">
        <f t="shared" si="5"/>
        <v>0</v>
      </c>
    </row>
    <row r="62" spans="1:12" ht="15" customHeight="1">
      <c r="A62" s="20"/>
      <c r="B62" s="43">
        <v>15</v>
      </c>
      <c r="C62" s="42" t="s">
        <v>38</v>
      </c>
      <c r="D62" s="20"/>
      <c r="E62" s="24"/>
      <c r="F62" s="64">
        <f t="shared" si="3"/>
      </c>
      <c r="G62" s="23">
        <v>4</v>
      </c>
      <c r="H62" s="30">
        <f t="shared" si="7"/>
        <v>0</v>
      </c>
      <c r="K62" s="5">
        <v>18</v>
      </c>
      <c r="L62" s="5">
        <f t="shared" si="5"/>
        <v>0</v>
      </c>
    </row>
    <row r="63" spans="1:12" ht="15" customHeight="1">
      <c r="A63" s="20"/>
      <c r="B63" s="43">
        <f>18-2-2-1+(4)</f>
        <v>17</v>
      </c>
      <c r="C63" s="42" t="s">
        <v>19</v>
      </c>
      <c r="D63" s="20"/>
      <c r="E63" s="24"/>
      <c r="F63" s="64">
        <f t="shared" si="3"/>
      </c>
      <c r="G63" s="23">
        <v>3</v>
      </c>
      <c r="H63" s="30">
        <f t="shared" si="7"/>
        <v>0</v>
      </c>
      <c r="K63" s="5">
        <v>18</v>
      </c>
      <c r="L63" s="5">
        <f t="shared" si="5"/>
        <v>0</v>
      </c>
    </row>
    <row r="64" spans="1:12" ht="15" customHeight="1">
      <c r="A64" s="20"/>
      <c r="B64" s="43">
        <v>3</v>
      </c>
      <c r="C64" s="42" t="s">
        <v>32</v>
      </c>
      <c r="D64" s="42" t="s">
        <v>91</v>
      </c>
      <c r="E64" s="24"/>
      <c r="F64" s="64">
        <f t="shared" si="3"/>
      </c>
      <c r="G64" s="23">
        <v>5</v>
      </c>
      <c r="H64" s="30">
        <f t="shared" si="7"/>
        <v>0</v>
      </c>
      <c r="K64" s="5">
        <v>18</v>
      </c>
      <c r="L64" s="5">
        <f t="shared" si="5"/>
        <v>0</v>
      </c>
    </row>
    <row r="65" spans="1:12" ht="15" customHeight="1">
      <c r="A65" s="20"/>
      <c r="B65" s="43">
        <v>2</v>
      </c>
      <c r="C65" s="42" t="s">
        <v>34</v>
      </c>
      <c r="D65" s="20"/>
      <c r="E65" s="24"/>
      <c r="F65" s="64">
        <f>IF(E65&gt;B65,"?","")</f>
      </c>
      <c r="G65" s="23">
        <v>5</v>
      </c>
      <c r="H65" s="30">
        <f>E65*G65</f>
        <v>0</v>
      </c>
      <c r="K65" s="5">
        <v>18</v>
      </c>
      <c r="L65" s="5">
        <f t="shared" si="5"/>
        <v>0</v>
      </c>
    </row>
    <row r="66" spans="1:12" ht="15" customHeight="1">
      <c r="A66" s="20"/>
      <c r="B66" s="43">
        <f>15-(1)</f>
        <v>14</v>
      </c>
      <c r="C66" s="42" t="s">
        <v>17</v>
      </c>
      <c r="D66" s="20"/>
      <c r="E66" s="24"/>
      <c r="F66" s="64">
        <f t="shared" si="3"/>
      </c>
      <c r="G66" s="23">
        <v>3</v>
      </c>
      <c r="H66" s="30">
        <f t="shared" si="7"/>
        <v>0</v>
      </c>
      <c r="K66" s="5">
        <v>18</v>
      </c>
      <c r="L66" s="5">
        <f t="shared" si="5"/>
        <v>0</v>
      </c>
    </row>
    <row r="67" spans="1:12" ht="15" customHeight="1">
      <c r="A67" s="20"/>
      <c r="B67" s="43">
        <v>4</v>
      </c>
      <c r="C67" s="41" t="s">
        <v>24</v>
      </c>
      <c r="D67" s="20"/>
      <c r="E67" s="24"/>
      <c r="F67" s="64">
        <f t="shared" si="3"/>
      </c>
      <c r="G67" s="23">
        <v>5</v>
      </c>
      <c r="H67" s="30">
        <f aca="true" t="shared" si="8" ref="H67:H72">MIN(IF(E67="",0,E67),B67)*G67</f>
        <v>0</v>
      </c>
      <c r="K67" s="5">
        <v>18</v>
      </c>
      <c r="L67" s="5">
        <f t="shared" si="5"/>
        <v>0</v>
      </c>
    </row>
    <row r="68" spans="1:12" ht="15" customHeight="1">
      <c r="A68" s="20"/>
      <c r="B68" s="43">
        <v>6</v>
      </c>
      <c r="C68" s="42" t="s">
        <v>37</v>
      </c>
      <c r="D68" s="42"/>
      <c r="E68" s="24"/>
      <c r="F68" s="64">
        <f t="shared" si="3"/>
      </c>
      <c r="G68" s="23">
        <v>5</v>
      </c>
      <c r="H68" s="30">
        <f t="shared" si="8"/>
        <v>0</v>
      </c>
      <c r="K68" s="5">
        <v>18</v>
      </c>
      <c r="L68" s="5">
        <f t="shared" si="5"/>
        <v>0</v>
      </c>
    </row>
    <row r="69" spans="1:12" ht="15" customHeight="1">
      <c r="A69" s="20"/>
      <c r="B69" s="43">
        <v>22</v>
      </c>
      <c r="C69" s="42" t="s">
        <v>35</v>
      </c>
      <c r="D69" s="20"/>
      <c r="E69" s="24"/>
      <c r="F69" s="64">
        <f>IF(E69&gt;B69,"?","")</f>
      </c>
      <c r="G69" s="23">
        <v>5</v>
      </c>
      <c r="H69" s="30">
        <f t="shared" si="8"/>
        <v>0</v>
      </c>
      <c r="K69" s="5">
        <v>18</v>
      </c>
      <c r="L69" s="5">
        <f t="shared" si="5"/>
        <v>0</v>
      </c>
    </row>
    <row r="70" spans="1:12" ht="15" customHeight="1" hidden="1">
      <c r="A70" s="20"/>
      <c r="B70" s="43">
        <f>5-5</f>
        <v>0</v>
      </c>
      <c r="C70" s="42" t="s">
        <v>272</v>
      </c>
      <c r="D70" s="20"/>
      <c r="E70" s="24"/>
      <c r="F70" s="64">
        <f>IF(E70&gt;B70,"?","")</f>
      </c>
      <c r="G70" s="23">
        <v>5</v>
      </c>
      <c r="H70" s="30">
        <f t="shared" si="8"/>
        <v>0</v>
      </c>
      <c r="K70" s="5">
        <v>18</v>
      </c>
      <c r="L70" s="5">
        <f t="shared" si="5"/>
        <v>0</v>
      </c>
    </row>
    <row r="71" spans="1:12" ht="15" customHeight="1" hidden="1">
      <c r="A71" s="20"/>
      <c r="B71" s="43">
        <v>0</v>
      </c>
      <c r="C71" s="42" t="s">
        <v>164</v>
      </c>
      <c r="D71" s="20"/>
      <c r="E71" s="24"/>
      <c r="F71" s="64">
        <f>IF(E71&gt;B71,"?","")</f>
      </c>
      <c r="G71" s="23">
        <v>3</v>
      </c>
      <c r="H71" s="30">
        <f t="shared" si="8"/>
        <v>0</v>
      </c>
      <c r="K71" s="5">
        <v>18</v>
      </c>
      <c r="L71" s="5">
        <f t="shared" si="5"/>
        <v>0</v>
      </c>
    </row>
    <row r="72" spans="1:12" ht="15" customHeight="1" hidden="1">
      <c r="A72" s="20"/>
      <c r="B72" s="43">
        <v>0</v>
      </c>
      <c r="C72" s="42" t="s">
        <v>142</v>
      </c>
      <c r="D72" s="20"/>
      <c r="E72" s="24"/>
      <c r="F72" s="64">
        <f t="shared" si="3"/>
      </c>
      <c r="G72" s="23">
        <v>2.5</v>
      </c>
      <c r="H72" s="30">
        <f t="shared" si="8"/>
        <v>0</v>
      </c>
      <c r="K72" s="5">
        <v>18</v>
      </c>
      <c r="L72" s="5">
        <f t="shared" si="5"/>
        <v>0</v>
      </c>
    </row>
    <row r="73" spans="1:8" ht="15" customHeight="1">
      <c r="A73" s="20"/>
      <c r="B73" s="45" t="s">
        <v>40</v>
      </c>
      <c r="C73" s="42"/>
      <c r="D73" s="20"/>
      <c r="E73" s="44"/>
      <c r="F73" s="64">
        <f t="shared" si="3"/>
      </c>
      <c r="G73" s="23"/>
      <c r="H73" s="49"/>
    </row>
    <row r="74" spans="1:12" ht="15" customHeight="1">
      <c r="A74" s="20"/>
      <c r="B74" s="43">
        <f>38-2-2-2-6-3-2-8-4+22-2-2-2-1-1-2-3-1-1-4-4-(1)-1-1+(5)+18</f>
        <v>28</v>
      </c>
      <c r="C74" s="42" t="s">
        <v>14</v>
      </c>
      <c r="D74" s="20"/>
      <c r="E74" s="24"/>
      <c r="F74" s="64">
        <f t="shared" si="3"/>
      </c>
      <c r="G74" s="23">
        <v>3</v>
      </c>
      <c r="H74" s="30">
        <f>MIN(IF(E74="",0,E74),B74)*G74</f>
        <v>0</v>
      </c>
      <c r="K74" s="5">
        <v>18</v>
      </c>
      <c r="L74" s="5">
        <f>E74/K74</f>
        <v>0</v>
      </c>
    </row>
    <row r="75" spans="1:12" ht="15" customHeight="1">
      <c r="A75" s="20"/>
      <c r="B75" s="43">
        <f>22-1-4-4-1+(4)-2+20</f>
        <v>34</v>
      </c>
      <c r="C75" s="42" t="s">
        <v>30</v>
      </c>
      <c r="D75" s="42"/>
      <c r="E75" s="24"/>
      <c r="F75" s="64">
        <f t="shared" si="3"/>
      </c>
      <c r="G75" s="23">
        <v>4</v>
      </c>
      <c r="H75" s="30">
        <f aca="true" t="shared" si="9" ref="H75:H91">MIN(IF(E75="",0,E75),B75)*G75</f>
        <v>0</v>
      </c>
      <c r="K75" s="5">
        <v>18</v>
      </c>
      <c r="L75" s="5">
        <f>E75/K75</f>
        <v>0</v>
      </c>
    </row>
    <row r="76" spans="1:12" ht="15" customHeight="1">
      <c r="A76" s="20"/>
      <c r="B76" s="43">
        <f>3+(1)-(2)</f>
        <v>2</v>
      </c>
      <c r="C76" s="42" t="s">
        <v>250</v>
      </c>
      <c r="D76" s="42"/>
      <c r="E76" s="22"/>
      <c r="F76" s="64">
        <f t="shared" si="3"/>
      </c>
      <c r="G76" s="23">
        <v>5</v>
      </c>
      <c r="H76" s="30">
        <f t="shared" si="9"/>
        <v>0</v>
      </c>
      <c r="K76" s="5">
        <v>18</v>
      </c>
      <c r="L76" s="5">
        <f aca="true" t="shared" si="10" ref="L76:L83">E76/K76</f>
        <v>0</v>
      </c>
    </row>
    <row r="77" spans="1:12" ht="15" customHeight="1" hidden="1">
      <c r="A77" s="20"/>
      <c r="B77" s="43">
        <f>1-1</f>
        <v>0</v>
      </c>
      <c r="C77" s="42" t="s">
        <v>251</v>
      </c>
      <c r="D77" s="42"/>
      <c r="E77" s="22"/>
      <c r="F77" s="64">
        <f t="shared" si="3"/>
      </c>
      <c r="G77" s="23">
        <v>5</v>
      </c>
      <c r="H77" s="30">
        <f t="shared" si="9"/>
        <v>0</v>
      </c>
      <c r="K77" s="5">
        <v>18</v>
      </c>
      <c r="L77" s="5">
        <f t="shared" si="10"/>
        <v>0</v>
      </c>
    </row>
    <row r="78" spans="1:12" ht="15" customHeight="1">
      <c r="A78" s="20"/>
      <c r="B78" s="43">
        <v>3</v>
      </c>
      <c r="C78" s="42" t="s">
        <v>248</v>
      </c>
      <c r="D78" s="42"/>
      <c r="E78" s="22"/>
      <c r="F78" s="64">
        <f t="shared" si="3"/>
      </c>
      <c r="G78" s="23">
        <v>5</v>
      </c>
      <c r="H78" s="30">
        <f t="shared" si="9"/>
        <v>0</v>
      </c>
      <c r="K78" s="5">
        <v>18</v>
      </c>
      <c r="L78" s="5">
        <f t="shared" si="10"/>
        <v>0</v>
      </c>
    </row>
    <row r="79" spans="1:12" ht="15" customHeight="1">
      <c r="A79" s="20"/>
      <c r="B79" s="43">
        <f>3-1</f>
        <v>2</v>
      </c>
      <c r="C79" s="42" t="s">
        <v>249</v>
      </c>
      <c r="D79" s="42"/>
      <c r="E79" s="22"/>
      <c r="F79" s="64">
        <f t="shared" si="3"/>
      </c>
      <c r="G79" s="23">
        <v>5</v>
      </c>
      <c r="H79" s="30">
        <f t="shared" si="9"/>
        <v>0</v>
      </c>
      <c r="K79" s="5">
        <v>18</v>
      </c>
      <c r="L79" s="5">
        <f t="shared" si="10"/>
        <v>0</v>
      </c>
    </row>
    <row r="80" spans="1:12" ht="15" customHeight="1">
      <c r="A80" s="20"/>
      <c r="B80" s="43">
        <f>11-1-2-1+28-2-8-6+2-1-2-2+2-1-2-3-1-5-5+(4)+(6)-2+57</f>
        <v>66</v>
      </c>
      <c r="C80" s="42" t="s">
        <v>18</v>
      </c>
      <c r="D80" s="42"/>
      <c r="E80" s="24"/>
      <c r="F80" s="64">
        <f>IF(E80&gt;B80,"?","")</f>
      </c>
      <c r="G80" s="23">
        <v>3</v>
      </c>
      <c r="H80" s="30">
        <f>MIN(IF(E80="",0,E80),B80)*G80</f>
        <v>0</v>
      </c>
      <c r="K80" s="5">
        <v>18</v>
      </c>
      <c r="L80" s="5">
        <f t="shared" si="10"/>
        <v>0</v>
      </c>
    </row>
    <row r="81" spans="1:12" ht="15" customHeight="1">
      <c r="A81" s="20"/>
      <c r="B81" s="43">
        <f>20-4-4+(2)-1+17-4-2-2-1-1-(3)+18</f>
        <v>35</v>
      </c>
      <c r="C81" s="42" t="s">
        <v>16</v>
      </c>
      <c r="D81" s="42"/>
      <c r="E81" s="24"/>
      <c r="F81" s="64">
        <f t="shared" si="3"/>
      </c>
      <c r="G81" s="23">
        <v>3</v>
      </c>
      <c r="H81" s="30">
        <f t="shared" si="9"/>
        <v>0</v>
      </c>
      <c r="K81" s="5">
        <v>18</v>
      </c>
      <c r="L81" s="5">
        <f t="shared" si="10"/>
        <v>0</v>
      </c>
    </row>
    <row r="82" spans="1:12" ht="15" customHeight="1">
      <c r="A82" s="20"/>
      <c r="B82" s="43">
        <v>2</v>
      </c>
      <c r="C82" s="42" t="s">
        <v>362</v>
      </c>
      <c r="D82" s="42"/>
      <c r="E82" s="24"/>
      <c r="F82" s="64">
        <f>IF(E82&gt;B82,"?","")</f>
      </c>
      <c r="G82" s="23">
        <v>3</v>
      </c>
      <c r="H82" s="30">
        <f>MIN(IF(E82="",0,E82),B82)*G82</f>
        <v>0</v>
      </c>
      <c r="K82" s="5">
        <v>18</v>
      </c>
      <c r="L82" s="5">
        <f>E82/K82</f>
        <v>0</v>
      </c>
    </row>
    <row r="83" spans="1:12" ht="15" customHeight="1">
      <c r="A83" s="20"/>
      <c r="B83" s="43">
        <f>15+15-1-2-1-2-4-6+4-2-2-1-1+(1)-2+41</f>
        <v>52</v>
      </c>
      <c r="C83" s="42" t="s">
        <v>15</v>
      </c>
      <c r="D83" s="42"/>
      <c r="E83" s="24"/>
      <c r="F83" s="64">
        <f t="shared" si="3"/>
      </c>
      <c r="G83" s="23">
        <v>3</v>
      </c>
      <c r="H83" s="30">
        <f t="shared" si="9"/>
        <v>0</v>
      </c>
      <c r="K83" s="5">
        <v>18</v>
      </c>
      <c r="L83" s="5">
        <f t="shared" si="10"/>
        <v>0</v>
      </c>
    </row>
    <row r="84" spans="1:12" ht="15" customHeight="1">
      <c r="A84" s="20"/>
      <c r="B84" s="43">
        <f>3+14-(14)-1+18-2-2-1-2-(5)-1-2+16-(2)-2</f>
        <v>17</v>
      </c>
      <c r="C84" s="42" t="s">
        <v>297</v>
      </c>
      <c r="D84" s="42"/>
      <c r="E84" s="24"/>
      <c r="F84" s="64">
        <f t="shared" si="3"/>
      </c>
      <c r="G84" s="23">
        <v>3</v>
      </c>
      <c r="H84" s="30">
        <f t="shared" si="9"/>
        <v>0</v>
      </c>
      <c r="K84" s="5">
        <v>18</v>
      </c>
      <c r="L84" s="5">
        <f aca="true" t="shared" si="11" ref="L84:L95">E84/K84</f>
        <v>0</v>
      </c>
    </row>
    <row r="85" spans="1:12" ht="15" customHeight="1" hidden="1">
      <c r="A85" s="20"/>
      <c r="B85" s="43">
        <v>0</v>
      </c>
      <c r="C85" s="42" t="s">
        <v>112</v>
      </c>
      <c r="D85" s="42"/>
      <c r="E85" s="24"/>
      <c r="F85" s="64">
        <f t="shared" si="3"/>
      </c>
      <c r="G85" s="23">
        <v>3</v>
      </c>
      <c r="H85" s="30">
        <f t="shared" si="9"/>
        <v>0</v>
      </c>
      <c r="K85" s="5">
        <v>18</v>
      </c>
      <c r="L85" s="5">
        <f t="shared" si="11"/>
        <v>0</v>
      </c>
    </row>
    <row r="86" spans="1:12" ht="15" customHeight="1">
      <c r="A86" s="20"/>
      <c r="B86" s="43">
        <f>27-2</f>
        <v>25</v>
      </c>
      <c r="C86" s="42" t="s">
        <v>38</v>
      </c>
      <c r="D86" s="20"/>
      <c r="E86" s="24"/>
      <c r="F86" s="64">
        <f t="shared" si="3"/>
      </c>
      <c r="G86" s="23">
        <v>4</v>
      </c>
      <c r="H86" s="30">
        <f t="shared" si="9"/>
        <v>0</v>
      </c>
      <c r="K86" s="5">
        <v>18</v>
      </c>
      <c r="L86" s="5">
        <f t="shared" si="11"/>
        <v>0</v>
      </c>
    </row>
    <row r="87" spans="1:12" ht="15" customHeight="1">
      <c r="A87" s="20"/>
      <c r="B87" s="43">
        <f>14-1-1-4+17-2-2+2-2-1-2-1-3-3+(1)-1+20</f>
        <v>31</v>
      </c>
      <c r="C87" s="42" t="s">
        <v>19</v>
      </c>
      <c r="D87" s="20"/>
      <c r="E87" s="24"/>
      <c r="F87" s="64">
        <f t="shared" si="3"/>
      </c>
      <c r="G87" s="23">
        <v>3</v>
      </c>
      <c r="H87" s="30">
        <f t="shared" si="9"/>
        <v>0</v>
      </c>
      <c r="K87" s="5">
        <v>18</v>
      </c>
      <c r="L87" s="5">
        <f t="shared" si="11"/>
        <v>0</v>
      </c>
    </row>
    <row r="88" spans="1:12" ht="15" customHeight="1">
      <c r="A88" s="20"/>
      <c r="B88" s="43">
        <v>4</v>
      </c>
      <c r="C88" s="42" t="s">
        <v>32</v>
      </c>
      <c r="D88" s="42" t="s">
        <v>91</v>
      </c>
      <c r="E88" s="24"/>
      <c r="F88" s="64">
        <f>IF(E88&gt;B88,"?","")</f>
      </c>
      <c r="G88" s="23">
        <v>5</v>
      </c>
      <c r="H88" s="30">
        <f t="shared" si="9"/>
        <v>0</v>
      </c>
      <c r="K88" s="5">
        <v>18</v>
      </c>
      <c r="L88" s="5">
        <f t="shared" si="11"/>
        <v>0</v>
      </c>
    </row>
    <row r="89" spans="1:12" ht="15" customHeight="1">
      <c r="A89" s="20"/>
      <c r="B89" s="43">
        <v>3</v>
      </c>
      <c r="C89" s="42" t="s">
        <v>34</v>
      </c>
      <c r="D89" s="20"/>
      <c r="E89" s="24"/>
      <c r="F89" s="64">
        <f>IF(E89&gt;B89,"?","")</f>
      </c>
      <c r="G89" s="23">
        <v>5</v>
      </c>
      <c r="H89" s="30">
        <f>E89*G89</f>
        <v>0</v>
      </c>
      <c r="K89" s="5">
        <v>18</v>
      </c>
      <c r="L89" s="5">
        <f t="shared" si="11"/>
        <v>0</v>
      </c>
    </row>
    <row r="90" spans="1:12" ht="15" customHeight="1">
      <c r="A90" s="20"/>
      <c r="B90" s="43" t="s">
        <v>31</v>
      </c>
      <c r="C90" s="42" t="s">
        <v>17</v>
      </c>
      <c r="D90" s="20"/>
      <c r="E90" s="24"/>
      <c r="F90" s="64">
        <f t="shared" si="3"/>
      </c>
      <c r="G90" s="23">
        <v>3</v>
      </c>
      <c r="H90" s="30">
        <f t="shared" si="9"/>
        <v>0</v>
      </c>
      <c r="K90" s="5">
        <v>18</v>
      </c>
      <c r="L90" s="5">
        <f t="shared" si="11"/>
        <v>0</v>
      </c>
    </row>
    <row r="91" spans="1:12" ht="15" customHeight="1">
      <c r="A91" s="20"/>
      <c r="B91" s="43">
        <f>10+1</f>
        <v>11</v>
      </c>
      <c r="C91" s="41" t="s">
        <v>24</v>
      </c>
      <c r="D91" s="20"/>
      <c r="E91" s="24"/>
      <c r="F91" s="64">
        <f t="shared" si="3"/>
      </c>
      <c r="G91" s="23">
        <v>5</v>
      </c>
      <c r="H91" s="30">
        <f t="shared" si="9"/>
        <v>0</v>
      </c>
      <c r="K91" s="5">
        <v>18</v>
      </c>
      <c r="L91" s="5">
        <f t="shared" si="11"/>
        <v>0</v>
      </c>
    </row>
    <row r="92" spans="1:12" ht="15" customHeight="1">
      <c r="A92" s="20"/>
      <c r="B92" s="43">
        <f>2+2</f>
        <v>4</v>
      </c>
      <c r="C92" s="41" t="s">
        <v>37</v>
      </c>
      <c r="D92" s="20"/>
      <c r="E92" s="24"/>
      <c r="F92" s="64">
        <f>IF(E92&gt;B92,"?","")</f>
      </c>
      <c r="G92" s="23">
        <v>5</v>
      </c>
      <c r="H92" s="30">
        <f>MIN(IF(E92="",0,E92),B92)*G92</f>
        <v>0</v>
      </c>
      <c r="K92" s="5">
        <v>18</v>
      </c>
      <c r="L92" s="5">
        <f t="shared" si="11"/>
        <v>0</v>
      </c>
    </row>
    <row r="93" spans="1:12" ht="15" customHeight="1">
      <c r="A93" s="20"/>
      <c r="B93" s="43">
        <v>2</v>
      </c>
      <c r="C93" s="42" t="s">
        <v>35</v>
      </c>
      <c r="D93" s="20"/>
      <c r="E93" s="24"/>
      <c r="F93" s="64">
        <f>IF(E93&gt;B93,"?","")</f>
      </c>
      <c r="G93" s="23">
        <v>5</v>
      </c>
      <c r="H93" s="30">
        <f>MIN(IF(E93="",0,E93),B93)*G93</f>
        <v>0</v>
      </c>
      <c r="K93" s="5">
        <v>18</v>
      </c>
      <c r="L93" s="5">
        <f t="shared" si="11"/>
        <v>0</v>
      </c>
    </row>
    <row r="94" spans="1:12" ht="15" customHeight="1">
      <c r="A94" s="20"/>
      <c r="B94" s="43">
        <v>1</v>
      </c>
      <c r="C94" s="42" t="s">
        <v>36</v>
      </c>
      <c r="D94" s="20"/>
      <c r="E94" s="24"/>
      <c r="F94" s="64">
        <f>IF(E94&gt;B94,"?","")</f>
      </c>
      <c r="G94" s="23">
        <v>5</v>
      </c>
      <c r="H94" s="30">
        <f>MIN(IF(E94="",0,E94),B94)*G94</f>
        <v>0</v>
      </c>
      <c r="K94" s="5">
        <v>18</v>
      </c>
      <c r="L94" s="5">
        <f t="shared" si="11"/>
        <v>0</v>
      </c>
    </row>
    <row r="95" spans="1:12" ht="15" customHeight="1" hidden="1">
      <c r="A95" s="20"/>
      <c r="B95" s="43">
        <f>2-2</f>
        <v>0</v>
      </c>
      <c r="C95" s="42" t="s">
        <v>142</v>
      </c>
      <c r="D95" s="20"/>
      <c r="E95" s="24"/>
      <c r="F95" s="64">
        <f>IF(E95&gt;B95,"?","")</f>
      </c>
      <c r="G95" s="23">
        <v>2.5</v>
      </c>
      <c r="H95" s="30">
        <f>MIN(IF(E95="",0,E95),B95)*G95</f>
        <v>0</v>
      </c>
      <c r="K95" s="5">
        <v>18</v>
      </c>
      <c r="L95" s="5">
        <f t="shared" si="11"/>
        <v>0</v>
      </c>
    </row>
    <row r="96" spans="1:12" ht="15" customHeight="1">
      <c r="A96" s="20"/>
      <c r="B96" s="45" t="s">
        <v>165</v>
      </c>
      <c r="C96" s="42"/>
      <c r="D96" s="20"/>
      <c r="E96" s="44"/>
      <c r="F96" s="64">
        <f aca="true" t="shared" si="12" ref="F96:F109">IF(E96&gt;B96,"?","")</f>
      </c>
      <c r="G96" s="23"/>
      <c r="H96" s="49"/>
      <c r="K96" s="5">
        <v>18</v>
      </c>
      <c r="L96" s="5">
        <f aca="true" t="shared" si="13" ref="L96:L109">E96/K96</f>
        <v>0</v>
      </c>
    </row>
    <row r="97" spans="1:12" ht="15" customHeight="1">
      <c r="A97" s="20"/>
      <c r="B97" s="43">
        <f>25-1-1-1-2-1-2-2-(5)+16-2-1-1-2-1-1+16-5+16-2-(5)-1-2-5-(1)-1</f>
        <v>28</v>
      </c>
      <c r="C97" s="42" t="s">
        <v>14</v>
      </c>
      <c r="D97" s="20"/>
      <c r="E97" s="24"/>
      <c r="F97" s="64">
        <f t="shared" si="12"/>
      </c>
      <c r="G97" s="23">
        <v>3</v>
      </c>
      <c r="H97" s="30">
        <f>MIN(IF(E97="",0,E97),B97)*G97</f>
        <v>0</v>
      </c>
      <c r="K97" s="5">
        <v>18</v>
      </c>
      <c r="L97" s="5">
        <f t="shared" si="13"/>
        <v>0</v>
      </c>
    </row>
    <row r="98" spans="1:12" ht="15" customHeight="1">
      <c r="A98" s="20"/>
      <c r="B98" s="43">
        <f>22-3-3-2-3-1-1-1-2-2-2-1-1+22-3-(3)+22-1-1-3-5-1-1-1-1-4-1+23-2-1-(2)-4-1-1-1-3-2</f>
        <v>25</v>
      </c>
      <c r="C98" s="42" t="s">
        <v>30</v>
      </c>
      <c r="D98" s="42"/>
      <c r="E98" s="24"/>
      <c r="F98" s="64">
        <f t="shared" si="12"/>
      </c>
      <c r="G98" s="23">
        <v>4</v>
      </c>
      <c r="H98" s="30">
        <f aca="true" t="shared" si="14" ref="H98:H109">MIN(IF(E98="",0,E98),B98)*G98</f>
        <v>0</v>
      </c>
      <c r="K98" s="5">
        <v>18</v>
      </c>
      <c r="L98" s="5">
        <f t="shared" si="13"/>
        <v>0</v>
      </c>
    </row>
    <row r="99" spans="1:12" ht="15" customHeight="1">
      <c r="A99" s="20"/>
      <c r="B99" s="43" t="s">
        <v>31</v>
      </c>
      <c r="C99" s="42" t="s">
        <v>18</v>
      </c>
      <c r="D99" s="42"/>
      <c r="E99" s="24"/>
      <c r="F99" s="64">
        <f t="shared" si="12"/>
      </c>
      <c r="G99" s="23">
        <v>3</v>
      </c>
      <c r="H99" s="30">
        <f t="shared" si="14"/>
        <v>0</v>
      </c>
      <c r="K99" s="5">
        <v>18</v>
      </c>
      <c r="L99" s="5">
        <f t="shared" si="13"/>
        <v>0</v>
      </c>
    </row>
    <row r="100" spans="1:12" ht="15" customHeight="1">
      <c r="A100" s="20"/>
      <c r="B100" s="43" t="s">
        <v>31</v>
      </c>
      <c r="C100" s="42" t="s">
        <v>16</v>
      </c>
      <c r="D100" s="42"/>
      <c r="E100" s="24"/>
      <c r="F100" s="64">
        <f t="shared" si="12"/>
      </c>
      <c r="G100" s="23">
        <v>3</v>
      </c>
      <c r="H100" s="30">
        <f t="shared" si="14"/>
        <v>0</v>
      </c>
      <c r="K100" s="5">
        <v>18</v>
      </c>
      <c r="L100" s="5">
        <f t="shared" si="13"/>
        <v>0</v>
      </c>
    </row>
    <row r="101" spans="1:12" ht="15" customHeight="1" hidden="1">
      <c r="A101" s="20"/>
      <c r="B101" s="43">
        <v>0</v>
      </c>
      <c r="C101" s="42" t="s">
        <v>127</v>
      </c>
      <c r="D101" s="42"/>
      <c r="E101" s="24"/>
      <c r="F101" s="64">
        <f t="shared" si="12"/>
      </c>
      <c r="G101" s="23">
        <v>5</v>
      </c>
      <c r="H101" s="30">
        <f t="shared" si="14"/>
        <v>0</v>
      </c>
      <c r="K101" s="5">
        <v>18</v>
      </c>
      <c r="L101" s="5">
        <f t="shared" si="13"/>
        <v>0</v>
      </c>
    </row>
    <row r="102" spans="1:12" ht="15" customHeight="1">
      <c r="A102" s="20"/>
      <c r="B102" s="43" t="s">
        <v>31</v>
      </c>
      <c r="C102" s="42" t="s">
        <v>15</v>
      </c>
      <c r="D102" s="42"/>
      <c r="E102" s="24"/>
      <c r="F102" s="64">
        <f t="shared" si="12"/>
      </c>
      <c r="G102" s="23">
        <v>3</v>
      </c>
      <c r="H102" s="30">
        <f t="shared" si="14"/>
        <v>0</v>
      </c>
      <c r="K102" s="5">
        <v>18</v>
      </c>
      <c r="L102" s="5">
        <f t="shared" si="13"/>
        <v>0</v>
      </c>
    </row>
    <row r="103" spans="1:12" ht="15" customHeight="1">
      <c r="A103" s="20"/>
      <c r="B103" s="43">
        <f>18-2-1-1</f>
        <v>14</v>
      </c>
      <c r="C103" s="42" t="s">
        <v>297</v>
      </c>
      <c r="D103" s="42"/>
      <c r="E103" s="24"/>
      <c r="F103" s="64">
        <f t="shared" si="12"/>
      </c>
      <c r="G103" s="23">
        <v>3</v>
      </c>
      <c r="H103" s="30">
        <f t="shared" si="14"/>
        <v>0</v>
      </c>
      <c r="K103" s="5">
        <v>18</v>
      </c>
      <c r="L103" s="5">
        <f t="shared" si="13"/>
        <v>0</v>
      </c>
    </row>
    <row r="104" spans="1:12" ht="15" customHeight="1">
      <c r="A104" s="20"/>
      <c r="B104" s="43">
        <f>31-2-2-(3)-1-1-3-(2)-2-1+39</f>
        <v>53</v>
      </c>
      <c r="C104" s="42" t="s">
        <v>17</v>
      </c>
      <c r="D104" s="20"/>
      <c r="E104" s="24"/>
      <c r="F104" s="64">
        <f>IF(E104&gt;B104,"?","")</f>
      </c>
      <c r="G104" s="23">
        <v>3</v>
      </c>
      <c r="H104" s="30">
        <f>E104*G104</f>
        <v>0</v>
      </c>
      <c r="K104" s="5">
        <v>18</v>
      </c>
      <c r="L104" s="5">
        <f>E104/K104</f>
        <v>0</v>
      </c>
    </row>
    <row r="105" spans="1:12" ht="15" customHeight="1" hidden="1">
      <c r="A105" s="20"/>
      <c r="B105" s="43">
        <f>19-(1)</f>
        <v>18</v>
      </c>
      <c r="C105" s="42" t="s">
        <v>297</v>
      </c>
      <c r="D105" s="42"/>
      <c r="E105" s="24"/>
      <c r="F105" s="64">
        <f t="shared" si="12"/>
      </c>
      <c r="G105" s="23">
        <v>3</v>
      </c>
      <c r="H105" s="30">
        <f t="shared" si="14"/>
        <v>0</v>
      </c>
      <c r="K105" s="5">
        <v>18</v>
      </c>
      <c r="L105" s="5">
        <f t="shared" si="13"/>
        <v>0</v>
      </c>
    </row>
    <row r="106" spans="1:12" ht="15" customHeight="1" hidden="1">
      <c r="A106" s="20"/>
      <c r="B106" s="43">
        <v>0</v>
      </c>
      <c r="C106" s="42" t="s">
        <v>112</v>
      </c>
      <c r="D106" s="71"/>
      <c r="E106" s="24"/>
      <c r="F106" s="64">
        <f t="shared" si="12"/>
      </c>
      <c r="G106" s="23">
        <v>3</v>
      </c>
      <c r="H106" s="30">
        <f t="shared" si="14"/>
        <v>0</v>
      </c>
      <c r="K106" s="5">
        <v>18</v>
      </c>
      <c r="L106" s="5">
        <f t="shared" si="13"/>
        <v>0</v>
      </c>
    </row>
    <row r="107" spans="1:12" ht="15" customHeight="1">
      <c r="A107" s="20"/>
      <c r="B107" s="43">
        <f>12-1-1-1-1-1-1-6+36-1</f>
        <v>35</v>
      </c>
      <c r="C107" s="42" t="s">
        <v>357</v>
      </c>
      <c r="D107" s="20"/>
      <c r="E107" s="24"/>
      <c r="F107" s="64">
        <f t="shared" si="12"/>
      </c>
      <c r="G107" s="23">
        <v>4</v>
      </c>
      <c r="H107" s="30">
        <f t="shared" si="14"/>
        <v>0</v>
      </c>
      <c r="K107" s="5">
        <v>18</v>
      </c>
      <c r="L107" s="5">
        <f t="shared" si="13"/>
        <v>0</v>
      </c>
    </row>
    <row r="108" spans="1:12" ht="15" customHeight="1">
      <c r="A108" s="20"/>
      <c r="B108" s="43">
        <f>14-1-1-2-1-1-2-(6)+25-(13)+17-5+7-2-1-1</f>
        <v>27</v>
      </c>
      <c r="C108" s="42" t="s">
        <v>19</v>
      </c>
      <c r="D108" s="20"/>
      <c r="E108" s="24"/>
      <c r="F108" s="64">
        <f t="shared" si="12"/>
      </c>
      <c r="G108" s="23">
        <v>3</v>
      </c>
      <c r="H108" s="30">
        <f t="shared" si="14"/>
        <v>0</v>
      </c>
      <c r="K108" s="5">
        <v>18</v>
      </c>
      <c r="L108" s="5">
        <f t="shared" si="13"/>
        <v>0</v>
      </c>
    </row>
    <row r="109" spans="1:12" ht="15" customHeight="1" hidden="1">
      <c r="A109" s="20"/>
      <c r="B109" s="43">
        <f>8-1-1-(2)</f>
        <v>4</v>
      </c>
      <c r="C109" s="41" t="s">
        <v>24</v>
      </c>
      <c r="D109" s="20"/>
      <c r="E109" s="24"/>
      <c r="F109" s="64">
        <f t="shared" si="12"/>
      </c>
      <c r="G109" s="23">
        <v>5</v>
      </c>
      <c r="H109" s="30">
        <f t="shared" si="14"/>
        <v>0</v>
      </c>
      <c r="K109" s="5">
        <v>18</v>
      </c>
      <c r="L109" s="5">
        <f t="shared" si="13"/>
        <v>0</v>
      </c>
    </row>
    <row r="110" spans="1:12" ht="15" customHeight="1" hidden="1">
      <c r="A110" s="20"/>
      <c r="B110" s="43">
        <f>6-(2)</f>
        <v>4</v>
      </c>
      <c r="C110" s="41" t="s">
        <v>37</v>
      </c>
      <c r="D110" s="20"/>
      <c r="E110" s="24"/>
      <c r="F110" s="64">
        <f>IF(E110&gt;B110,"?","")</f>
      </c>
      <c r="G110" s="23">
        <v>5</v>
      </c>
      <c r="H110" s="30">
        <f>MIN(IF(E110="",0,E110),B110)*G110</f>
        <v>0</v>
      </c>
      <c r="K110" s="5">
        <v>18</v>
      </c>
      <c r="L110" s="5">
        <f>E110/K110</f>
        <v>0</v>
      </c>
    </row>
    <row r="111" spans="1:12" ht="15" customHeight="1" hidden="1">
      <c r="A111" s="20"/>
      <c r="B111" s="43">
        <f>14-12</f>
        <v>2</v>
      </c>
      <c r="C111" s="42" t="s">
        <v>35</v>
      </c>
      <c r="D111" s="20"/>
      <c r="E111" s="24"/>
      <c r="F111" s="64">
        <f>IF(E111&gt;B111,"?","")</f>
      </c>
      <c r="G111" s="23">
        <v>5</v>
      </c>
      <c r="H111" s="30">
        <f>MIN(IF(E111="",0,E111),B111)*G111</f>
        <v>0</v>
      </c>
      <c r="K111" s="5">
        <v>18</v>
      </c>
      <c r="L111" s="5">
        <f>E111/K111</f>
        <v>0</v>
      </c>
    </row>
    <row r="112" spans="1:12" ht="15" customHeight="1" hidden="1">
      <c r="A112" s="20"/>
      <c r="B112" s="43">
        <v>0</v>
      </c>
      <c r="C112" s="42" t="s">
        <v>46</v>
      </c>
      <c r="D112" s="42"/>
      <c r="E112" s="24"/>
      <c r="F112" s="64">
        <f>IF(E112&gt;B112,"?","")</f>
      </c>
      <c r="G112" s="23">
        <v>3</v>
      </c>
      <c r="H112" s="30">
        <f>MIN(IF(E112="",0,E112),B112)*G112</f>
        <v>0</v>
      </c>
      <c r="K112" s="5">
        <v>18</v>
      </c>
      <c r="L112" s="5">
        <f>E112/K112</f>
        <v>0</v>
      </c>
    </row>
    <row r="113" spans="1:12" ht="15" customHeight="1" hidden="1">
      <c r="A113" s="20"/>
      <c r="B113" s="45" t="s">
        <v>87</v>
      </c>
      <c r="C113" s="46"/>
      <c r="D113" s="20"/>
      <c r="E113" s="44"/>
      <c r="F113" s="64">
        <f t="shared" si="3"/>
      </c>
      <c r="G113" s="23"/>
      <c r="H113" s="49"/>
      <c r="K113" s="5">
        <v>18</v>
      </c>
      <c r="L113" s="5">
        <f>E113/K113</f>
        <v>0</v>
      </c>
    </row>
    <row r="114" spans="1:12" ht="15" customHeight="1" hidden="1">
      <c r="A114" s="20"/>
      <c r="B114" s="43">
        <v>32</v>
      </c>
      <c r="C114" s="42" t="s">
        <v>14</v>
      </c>
      <c r="D114" s="20"/>
      <c r="E114" s="24"/>
      <c r="F114" s="64">
        <f t="shared" si="3"/>
      </c>
      <c r="G114" s="23">
        <v>2.5</v>
      </c>
      <c r="H114" s="30">
        <f aca="true" t="shared" si="15" ref="H114:H119">MIN(IF(E114="",0,E114),B114)*G114</f>
        <v>0</v>
      </c>
      <c r="K114" s="5">
        <v>18</v>
      </c>
      <c r="L114" s="5">
        <f aca="true" t="shared" si="16" ref="L114:L192">E114/K114</f>
        <v>0</v>
      </c>
    </row>
    <row r="115" spans="1:12" ht="15" customHeight="1" hidden="1">
      <c r="A115" s="20"/>
      <c r="B115" s="43">
        <f>45-2-1</f>
        <v>42</v>
      </c>
      <c r="C115" s="42" t="s">
        <v>30</v>
      </c>
      <c r="D115" s="42"/>
      <c r="E115" s="24"/>
      <c r="F115" s="64">
        <f t="shared" si="3"/>
      </c>
      <c r="G115" s="23">
        <v>3</v>
      </c>
      <c r="H115" s="30">
        <f t="shared" si="15"/>
        <v>0</v>
      </c>
      <c r="K115" s="5">
        <v>18</v>
      </c>
      <c r="L115" s="5">
        <f t="shared" si="16"/>
        <v>0</v>
      </c>
    </row>
    <row r="116" spans="1:12" ht="15" customHeight="1" hidden="1">
      <c r="A116" s="20"/>
      <c r="B116" s="43">
        <f>11-2-2</f>
        <v>7</v>
      </c>
      <c r="C116" s="42" t="s">
        <v>18</v>
      </c>
      <c r="D116" s="42"/>
      <c r="E116" s="24"/>
      <c r="F116" s="64">
        <f t="shared" si="3"/>
      </c>
      <c r="G116" s="23">
        <v>2.5</v>
      </c>
      <c r="H116" s="30">
        <f t="shared" si="15"/>
        <v>0</v>
      </c>
      <c r="K116" s="5">
        <v>18</v>
      </c>
      <c r="L116" s="5">
        <f t="shared" si="16"/>
        <v>0</v>
      </c>
    </row>
    <row r="117" spans="1:12" ht="15" customHeight="1" hidden="1">
      <c r="A117" s="20"/>
      <c r="B117" s="43">
        <f>25-2-2</f>
        <v>21</v>
      </c>
      <c r="C117" s="42" t="s">
        <v>16</v>
      </c>
      <c r="D117" s="42"/>
      <c r="E117" s="24"/>
      <c r="F117" s="64">
        <f t="shared" si="3"/>
      </c>
      <c r="G117" s="23">
        <v>2.5</v>
      </c>
      <c r="H117" s="30">
        <f t="shared" si="15"/>
        <v>0</v>
      </c>
      <c r="K117" s="5">
        <v>18</v>
      </c>
      <c r="L117" s="5">
        <f t="shared" si="16"/>
        <v>0</v>
      </c>
    </row>
    <row r="118" spans="1:12" ht="15" customHeight="1" hidden="1">
      <c r="A118" s="20"/>
      <c r="B118" s="43">
        <f>35-2-2</f>
        <v>31</v>
      </c>
      <c r="C118" s="42" t="s">
        <v>15</v>
      </c>
      <c r="D118" s="42"/>
      <c r="E118" s="24"/>
      <c r="F118" s="64">
        <f t="shared" si="3"/>
      </c>
      <c r="G118" s="23">
        <v>2.5</v>
      </c>
      <c r="H118" s="30">
        <f t="shared" si="15"/>
        <v>0</v>
      </c>
      <c r="K118" s="5">
        <v>18</v>
      </c>
      <c r="L118" s="5">
        <f t="shared" si="16"/>
        <v>0</v>
      </c>
    </row>
    <row r="119" spans="1:12" ht="15" customHeight="1" hidden="1">
      <c r="A119" s="20"/>
      <c r="B119" s="43">
        <f>1-1</f>
        <v>0</v>
      </c>
      <c r="C119" s="42" t="s">
        <v>68</v>
      </c>
      <c r="D119" s="42"/>
      <c r="E119" s="24"/>
      <c r="F119" s="64">
        <f t="shared" si="3"/>
      </c>
      <c r="G119" s="23">
        <v>3</v>
      </c>
      <c r="H119" s="30">
        <f t="shared" si="15"/>
        <v>0</v>
      </c>
      <c r="K119" s="5">
        <v>18</v>
      </c>
      <c r="L119" s="5">
        <f t="shared" si="16"/>
        <v>0</v>
      </c>
    </row>
    <row r="120" spans="1:12" ht="15" customHeight="1" hidden="1">
      <c r="A120" s="20"/>
      <c r="B120" s="43">
        <v>0</v>
      </c>
      <c r="C120" s="42" t="s">
        <v>112</v>
      </c>
      <c r="D120" s="42"/>
      <c r="E120" s="24"/>
      <c r="F120" s="64">
        <f t="shared" si="3"/>
      </c>
      <c r="G120" s="23">
        <v>3</v>
      </c>
      <c r="H120" s="30">
        <f>E120*G120</f>
        <v>0</v>
      </c>
      <c r="K120" s="5">
        <v>18</v>
      </c>
      <c r="L120" s="5">
        <f t="shared" si="16"/>
        <v>0</v>
      </c>
    </row>
    <row r="121" spans="1:12" ht="15" customHeight="1" hidden="1">
      <c r="A121" s="20"/>
      <c r="B121" s="43">
        <f>20-1</f>
        <v>19</v>
      </c>
      <c r="C121" s="42" t="s">
        <v>38</v>
      </c>
      <c r="D121" s="20"/>
      <c r="E121" s="24"/>
      <c r="F121" s="64">
        <f t="shared" si="3"/>
      </c>
      <c r="G121" s="23">
        <v>3</v>
      </c>
      <c r="H121" s="30">
        <f>MIN(IF(E121="",0,E121),B121)*G121</f>
        <v>0</v>
      </c>
      <c r="K121" s="5">
        <v>18</v>
      </c>
      <c r="L121" s="5">
        <f t="shared" si="16"/>
        <v>0</v>
      </c>
    </row>
    <row r="122" spans="1:12" ht="15" customHeight="1" hidden="1">
      <c r="A122" s="20"/>
      <c r="B122" s="43">
        <f>13-2-2</f>
        <v>9</v>
      </c>
      <c r="C122" s="42" t="s">
        <v>19</v>
      </c>
      <c r="D122" s="20"/>
      <c r="E122" s="24"/>
      <c r="F122" s="64">
        <f t="shared" si="3"/>
      </c>
      <c r="G122" s="23">
        <v>2.5</v>
      </c>
      <c r="H122" s="30">
        <f>MIN(IF(E122="",0,E122),B122)*G122</f>
        <v>0</v>
      </c>
      <c r="K122" s="5">
        <v>18</v>
      </c>
      <c r="L122" s="5">
        <f t="shared" si="16"/>
        <v>0</v>
      </c>
    </row>
    <row r="123" spans="1:12" ht="15" customHeight="1" hidden="1">
      <c r="A123" s="20"/>
      <c r="B123" s="43">
        <f>28-2</f>
        <v>26</v>
      </c>
      <c r="C123" s="42" t="s">
        <v>17</v>
      </c>
      <c r="D123" s="20"/>
      <c r="E123" s="24"/>
      <c r="F123" s="64">
        <f t="shared" si="3"/>
      </c>
      <c r="G123" s="23">
        <v>2.5</v>
      </c>
      <c r="H123" s="30">
        <f>MIN(IF(E123="",0,E123),B123)*G123</f>
        <v>0</v>
      </c>
      <c r="K123" s="5">
        <v>18</v>
      </c>
      <c r="L123" s="5">
        <f t="shared" si="16"/>
        <v>0</v>
      </c>
    </row>
    <row r="124" spans="1:12" ht="15" customHeight="1" hidden="1">
      <c r="A124" s="20"/>
      <c r="B124" s="43">
        <v>26</v>
      </c>
      <c r="C124" s="41" t="s">
        <v>24</v>
      </c>
      <c r="D124" s="20"/>
      <c r="E124" s="24"/>
      <c r="F124" s="64">
        <f t="shared" si="3"/>
      </c>
      <c r="G124" s="23">
        <v>5</v>
      </c>
      <c r="H124" s="30">
        <f>MIN(IF(E124="",0,E124),B124)*G124</f>
        <v>0</v>
      </c>
      <c r="K124" s="5">
        <v>18</v>
      </c>
      <c r="L124" s="5">
        <f t="shared" si="16"/>
        <v>0</v>
      </c>
    </row>
    <row r="125" spans="1:12" ht="15" customHeight="1" hidden="1">
      <c r="A125" s="20"/>
      <c r="B125" s="43">
        <v>0</v>
      </c>
      <c r="C125" s="42" t="s">
        <v>37</v>
      </c>
      <c r="D125" s="42"/>
      <c r="E125" s="24"/>
      <c r="F125" s="64">
        <f t="shared" si="3"/>
      </c>
      <c r="G125" s="23">
        <v>5</v>
      </c>
      <c r="H125" s="30">
        <f>E125*G125</f>
        <v>0</v>
      </c>
      <c r="K125" s="5">
        <v>18</v>
      </c>
      <c r="L125" s="5">
        <f t="shared" si="16"/>
        <v>0</v>
      </c>
    </row>
    <row r="126" spans="1:12" ht="15" customHeight="1" hidden="1">
      <c r="A126" s="20"/>
      <c r="B126" s="43">
        <v>0</v>
      </c>
      <c r="C126" s="42" t="s">
        <v>142</v>
      </c>
      <c r="D126" s="20"/>
      <c r="E126" s="24"/>
      <c r="F126" s="64">
        <f aca="true" t="shared" si="17" ref="F126:F139">IF(E126&gt;B126,"?","")</f>
      </c>
      <c r="G126" s="23">
        <v>2.5</v>
      </c>
      <c r="H126" s="30">
        <f>MIN(IF(E126="",0,E126),B126)*G126</f>
        <v>0</v>
      </c>
      <c r="K126" s="5">
        <v>18</v>
      </c>
      <c r="L126" s="5">
        <f>E126/K126</f>
        <v>0</v>
      </c>
    </row>
    <row r="127" spans="1:12" ht="15" customHeight="1">
      <c r="A127" s="20"/>
      <c r="B127" s="45" t="s">
        <v>155</v>
      </c>
      <c r="C127" s="42"/>
      <c r="D127" s="20"/>
      <c r="E127" s="48"/>
      <c r="F127" s="64">
        <f t="shared" si="17"/>
      </c>
      <c r="G127" s="23"/>
      <c r="H127" s="38"/>
      <c r="K127" s="5">
        <v>18</v>
      </c>
      <c r="L127" s="5">
        <f t="shared" si="16"/>
        <v>0</v>
      </c>
    </row>
    <row r="128" spans="1:12" ht="15" customHeight="1">
      <c r="A128" s="20"/>
      <c r="B128" s="43">
        <f>40-3-1-3-1-5-1-1-1-1-(6)-1</f>
        <v>16</v>
      </c>
      <c r="C128" s="42" t="s">
        <v>273</v>
      </c>
      <c r="D128" s="42"/>
      <c r="E128" s="24"/>
      <c r="F128" s="64">
        <f t="shared" si="17"/>
      </c>
      <c r="G128" s="23">
        <v>3</v>
      </c>
      <c r="H128" s="30">
        <f>MIN(IF(E128="",0,E128),B128)*G128</f>
        <v>0</v>
      </c>
      <c r="K128" s="5">
        <v>18</v>
      </c>
      <c r="L128" s="5">
        <f>E128/K128</f>
        <v>0</v>
      </c>
    </row>
    <row r="129" spans="1:12" ht="15" customHeight="1" hidden="1">
      <c r="A129" s="20"/>
      <c r="B129" s="43">
        <f>9-2-1+2-4-1-1-2</f>
        <v>0</v>
      </c>
      <c r="C129" s="42" t="s">
        <v>274</v>
      </c>
      <c r="D129" s="42"/>
      <c r="E129" s="24"/>
      <c r="F129" s="64">
        <f>IF(E129&gt;B129,"?","")</f>
      </c>
      <c r="G129" s="23">
        <v>3</v>
      </c>
      <c r="H129" s="30">
        <f>MIN(IF(E129="",0,E129),B129)*G129</f>
        <v>0</v>
      </c>
      <c r="K129" s="5">
        <v>18</v>
      </c>
      <c r="L129" s="5">
        <f>E129/K129</f>
        <v>0</v>
      </c>
    </row>
    <row r="130" spans="1:12" ht="15" customHeight="1" hidden="1">
      <c r="A130" s="20"/>
      <c r="B130" s="43">
        <f>35-1-2-1-13-2-5-1+(3)</f>
        <v>13</v>
      </c>
      <c r="C130" s="42" t="s">
        <v>276</v>
      </c>
      <c r="D130" s="42"/>
      <c r="E130" s="22"/>
      <c r="F130" s="64">
        <f t="shared" si="17"/>
      </c>
      <c r="G130" s="23">
        <v>3</v>
      </c>
      <c r="H130" s="30">
        <f>MIN(IF(E130="",0,E130),B130)*G130</f>
        <v>0</v>
      </c>
      <c r="K130" s="5">
        <v>18</v>
      </c>
      <c r="L130" s="5">
        <f>E130/K130</f>
        <v>0</v>
      </c>
    </row>
    <row r="131" spans="1:12" ht="15" customHeight="1" hidden="1">
      <c r="A131" s="20"/>
      <c r="B131" s="43">
        <f>17+8-1-2-2-4-2-(5)-1-1-5+(1)</f>
        <v>3</v>
      </c>
      <c r="C131" s="42" t="s">
        <v>277</v>
      </c>
      <c r="D131" s="42"/>
      <c r="E131" s="22"/>
      <c r="F131" s="64">
        <f t="shared" si="17"/>
      </c>
      <c r="G131" s="23">
        <v>3</v>
      </c>
      <c r="H131" s="30">
        <f>MIN(IF(E131="",0,E131),B131)*G131</f>
        <v>0</v>
      </c>
      <c r="K131" s="5">
        <v>18</v>
      </c>
      <c r="L131" s="5">
        <f>E131/K131</f>
        <v>0</v>
      </c>
    </row>
    <row r="132" spans="1:12" ht="15" customHeight="1">
      <c r="A132" s="20"/>
      <c r="B132" s="43">
        <f>35-1-2-3-5-2-6-2-2+(1)</f>
        <v>13</v>
      </c>
      <c r="C132" s="42" t="s">
        <v>278</v>
      </c>
      <c r="D132" s="42"/>
      <c r="E132" s="24"/>
      <c r="F132" s="64">
        <f t="shared" si="17"/>
      </c>
      <c r="G132" s="23">
        <v>2.5</v>
      </c>
      <c r="H132" s="30">
        <f aca="true" t="shared" si="18" ref="H132:H151">MIN(IF(E132="",0,E132),B132)*G132</f>
        <v>0</v>
      </c>
      <c r="K132" s="5">
        <v>18</v>
      </c>
      <c r="L132" s="5">
        <f t="shared" si="16"/>
        <v>0</v>
      </c>
    </row>
    <row r="133" spans="1:12" ht="15" customHeight="1">
      <c r="A133" s="20"/>
      <c r="B133" s="43">
        <f>51-3-6-4-3-6-1-1-7-(14)-1-2-2-1+102-1</f>
        <v>101</v>
      </c>
      <c r="C133" s="42" t="s">
        <v>363</v>
      </c>
      <c r="D133" s="42"/>
      <c r="E133" s="22"/>
      <c r="F133" s="64">
        <f t="shared" si="17"/>
      </c>
      <c r="G133" s="23">
        <v>2.5</v>
      </c>
      <c r="H133" s="30">
        <f t="shared" si="18"/>
        <v>0</v>
      </c>
      <c r="K133" s="5">
        <v>18</v>
      </c>
      <c r="L133" s="5">
        <f t="shared" si="16"/>
        <v>0</v>
      </c>
    </row>
    <row r="134" spans="1:12" ht="15" customHeight="1">
      <c r="A134" s="20"/>
      <c r="B134" s="43">
        <f>30-1-1</f>
        <v>28</v>
      </c>
      <c r="C134" s="42" t="s">
        <v>364</v>
      </c>
      <c r="D134" s="42"/>
      <c r="E134" s="22"/>
      <c r="F134" s="64">
        <f>IF(E134&gt;B134,"?","")</f>
      </c>
      <c r="G134" s="23">
        <v>2.5</v>
      </c>
      <c r="H134" s="30">
        <f>MIN(IF(E134="",0,E134),B134)*G134</f>
        <v>0</v>
      </c>
      <c r="K134" s="5">
        <v>18</v>
      </c>
      <c r="L134" s="5">
        <f>E134/K134</f>
        <v>0</v>
      </c>
    </row>
    <row r="135" spans="1:12" ht="15" customHeight="1">
      <c r="A135" s="20"/>
      <c r="B135" s="43" t="s">
        <v>31</v>
      </c>
      <c r="C135" s="42" t="s">
        <v>279</v>
      </c>
      <c r="D135" s="42"/>
      <c r="E135" s="22"/>
      <c r="F135" s="64">
        <f t="shared" si="17"/>
      </c>
      <c r="G135" s="23">
        <v>2.5</v>
      </c>
      <c r="H135" s="30">
        <f t="shared" si="18"/>
        <v>0</v>
      </c>
      <c r="K135" s="5">
        <v>18</v>
      </c>
      <c r="L135" s="5">
        <f t="shared" si="16"/>
        <v>0</v>
      </c>
    </row>
    <row r="136" spans="1:12" ht="15" customHeight="1" hidden="1">
      <c r="A136" s="20"/>
      <c r="B136" s="43">
        <f>10-1-1-2-6</f>
        <v>0</v>
      </c>
      <c r="C136" s="42" t="s">
        <v>280</v>
      </c>
      <c r="D136" s="42"/>
      <c r="E136" s="22"/>
      <c r="F136" s="64">
        <f t="shared" si="17"/>
      </c>
      <c r="G136" s="23">
        <v>3</v>
      </c>
      <c r="H136" s="30">
        <f>MIN(IF(E136="",0,E136),B136)*G136</f>
        <v>0</v>
      </c>
      <c r="K136" s="5">
        <v>18</v>
      </c>
      <c r="L136" s="5">
        <f t="shared" si="16"/>
        <v>0</v>
      </c>
    </row>
    <row r="137" spans="1:12" ht="15" customHeight="1" hidden="1">
      <c r="A137" s="20"/>
      <c r="B137" s="43">
        <f>9-1-2-2-1+(9)-2-2-3-(1)-1-1-2</f>
        <v>0</v>
      </c>
      <c r="C137" s="42" t="s">
        <v>281</v>
      </c>
      <c r="D137" s="42"/>
      <c r="E137" s="24"/>
      <c r="F137" s="64">
        <f t="shared" si="17"/>
      </c>
      <c r="G137" s="23">
        <v>2.5</v>
      </c>
      <c r="H137" s="30">
        <f t="shared" si="18"/>
        <v>0</v>
      </c>
      <c r="K137" s="5">
        <v>18</v>
      </c>
      <c r="L137" s="5">
        <f t="shared" si="16"/>
        <v>0</v>
      </c>
    </row>
    <row r="138" spans="1:12" ht="15" customHeight="1" hidden="1">
      <c r="A138" s="20"/>
      <c r="B138" s="43">
        <v>0</v>
      </c>
      <c r="C138" s="42" t="s">
        <v>82</v>
      </c>
      <c r="D138" s="42"/>
      <c r="E138" s="24"/>
      <c r="F138" s="64">
        <f t="shared" si="17"/>
      </c>
      <c r="G138" s="23">
        <v>3</v>
      </c>
      <c r="H138" s="30">
        <f t="shared" si="18"/>
        <v>0</v>
      </c>
      <c r="K138" s="5">
        <v>18</v>
      </c>
      <c r="L138" s="5">
        <f t="shared" si="16"/>
        <v>0</v>
      </c>
    </row>
    <row r="139" spans="1:12" ht="15" customHeight="1" hidden="1">
      <c r="A139" s="20"/>
      <c r="B139" s="43" t="s">
        <v>31</v>
      </c>
      <c r="C139" s="42" t="s">
        <v>282</v>
      </c>
      <c r="D139" s="42"/>
      <c r="E139" s="24"/>
      <c r="F139" s="64">
        <f t="shared" si="17"/>
      </c>
      <c r="G139" s="23">
        <v>2.5</v>
      </c>
      <c r="H139" s="30">
        <f t="shared" si="18"/>
        <v>0</v>
      </c>
      <c r="K139" s="5">
        <v>18</v>
      </c>
      <c r="L139" s="5">
        <f t="shared" si="16"/>
        <v>0</v>
      </c>
    </row>
    <row r="140" spans="1:12" ht="15" customHeight="1" hidden="1">
      <c r="A140" s="20"/>
      <c r="B140" s="43">
        <f>8-3-(1)-2</f>
        <v>2</v>
      </c>
      <c r="C140" s="42" t="s">
        <v>283</v>
      </c>
      <c r="D140" s="42"/>
      <c r="E140" s="24"/>
      <c r="F140" s="64">
        <f aca="true" t="shared" si="19" ref="F140:F151">IF(E140&gt;B140,"?","")</f>
      </c>
      <c r="G140" s="23">
        <v>2.5</v>
      </c>
      <c r="H140" s="30">
        <f t="shared" si="18"/>
        <v>0</v>
      </c>
      <c r="K140" s="5">
        <v>18</v>
      </c>
      <c r="L140" s="5">
        <f t="shared" si="16"/>
        <v>0</v>
      </c>
    </row>
    <row r="141" spans="1:12" ht="15" customHeight="1" hidden="1">
      <c r="A141" s="20"/>
      <c r="B141" s="43">
        <v>0</v>
      </c>
      <c r="C141" s="42" t="s">
        <v>137</v>
      </c>
      <c r="D141" s="42"/>
      <c r="E141" s="24"/>
      <c r="F141" s="64">
        <f t="shared" si="19"/>
      </c>
      <c r="G141" s="23">
        <v>2.5</v>
      </c>
      <c r="H141" s="30">
        <f t="shared" si="18"/>
        <v>0</v>
      </c>
      <c r="K141" s="5">
        <v>18</v>
      </c>
      <c r="L141" s="5">
        <f t="shared" si="16"/>
        <v>0</v>
      </c>
    </row>
    <row r="142" spans="1:12" ht="15" customHeight="1" hidden="1">
      <c r="A142" s="20"/>
      <c r="B142" s="43">
        <v>0</v>
      </c>
      <c r="C142" s="42" t="s">
        <v>143</v>
      </c>
      <c r="D142" s="42"/>
      <c r="E142" s="24"/>
      <c r="F142" s="64">
        <f t="shared" si="19"/>
      </c>
      <c r="G142" s="23">
        <v>2.5</v>
      </c>
      <c r="H142" s="30">
        <f t="shared" si="18"/>
        <v>0</v>
      </c>
      <c r="K142" s="5">
        <v>18</v>
      </c>
      <c r="L142" s="5">
        <f t="shared" si="16"/>
        <v>0</v>
      </c>
    </row>
    <row r="143" spans="1:12" ht="15" customHeight="1" hidden="1">
      <c r="A143" s="20"/>
      <c r="B143" s="43">
        <v>0</v>
      </c>
      <c r="C143" s="42" t="s">
        <v>215</v>
      </c>
      <c r="D143" s="42"/>
      <c r="E143" s="24"/>
      <c r="F143" s="64">
        <f>IF(E143&gt;B143,"?","")</f>
      </c>
      <c r="G143" s="23">
        <v>2.5</v>
      </c>
      <c r="H143" s="30">
        <f>MIN(IF(E143="",0,E143),B143)*G143</f>
        <v>0</v>
      </c>
      <c r="K143" s="5">
        <v>18</v>
      </c>
      <c r="L143" s="5">
        <f>E143/K143</f>
        <v>0</v>
      </c>
    </row>
    <row r="144" spans="1:12" ht="15" customHeight="1" hidden="1">
      <c r="A144" s="20"/>
      <c r="B144" s="43">
        <v>0</v>
      </c>
      <c r="C144" s="42" t="s">
        <v>216</v>
      </c>
      <c r="D144" s="42"/>
      <c r="E144" s="24"/>
      <c r="F144" s="64">
        <f>IF(E144&gt;B144,"?","")</f>
      </c>
      <c r="G144" s="23">
        <v>3</v>
      </c>
      <c r="H144" s="30">
        <f>MIN(IF(E144="",0,E144),B144)*G144</f>
        <v>0</v>
      </c>
      <c r="K144" s="5">
        <v>18</v>
      </c>
      <c r="L144" s="5">
        <f>E144/K144</f>
        <v>0</v>
      </c>
    </row>
    <row r="145" spans="1:12" ht="15" customHeight="1" hidden="1">
      <c r="A145" s="20"/>
      <c r="B145" s="43">
        <f>60-3</f>
        <v>57</v>
      </c>
      <c r="C145" s="42" t="s">
        <v>284</v>
      </c>
      <c r="D145" s="42"/>
      <c r="E145" s="24"/>
      <c r="F145" s="64">
        <f>IF(E145&gt;B145,"?","")</f>
      </c>
      <c r="G145" s="23">
        <v>2.5</v>
      </c>
      <c r="H145" s="30">
        <f>MIN(IF(E145="",0,E145),B145)*G145</f>
        <v>0</v>
      </c>
      <c r="K145" s="5">
        <v>18</v>
      </c>
      <c r="L145" s="5">
        <f t="shared" si="16"/>
        <v>0</v>
      </c>
    </row>
    <row r="146" spans="1:12" ht="15" customHeight="1" hidden="1">
      <c r="A146" s="20"/>
      <c r="B146" s="43">
        <v>0</v>
      </c>
      <c r="C146" s="42" t="s">
        <v>138</v>
      </c>
      <c r="D146" s="42"/>
      <c r="E146" s="24"/>
      <c r="F146" s="64">
        <f t="shared" si="19"/>
      </c>
      <c r="G146" s="23">
        <v>3</v>
      </c>
      <c r="H146" s="30">
        <f t="shared" si="18"/>
        <v>0</v>
      </c>
      <c r="K146" s="5">
        <v>18</v>
      </c>
      <c r="L146" s="5">
        <f t="shared" si="16"/>
        <v>0</v>
      </c>
    </row>
    <row r="147" spans="1:12" ht="15" customHeight="1" hidden="1">
      <c r="A147" s="20"/>
      <c r="B147" s="43">
        <f>2</f>
        <v>2</v>
      </c>
      <c r="C147" s="42" t="s">
        <v>139</v>
      </c>
      <c r="D147" s="42"/>
      <c r="E147" s="24"/>
      <c r="F147" s="64">
        <f t="shared" si="19"/>
      </c>
      <c r="G147" s="23">
        <v>2.5</v>
      </c>
      <c r="H147" s="30">
        <f t="shared" si="18"/>
        <v>0</v>
      </c>
      <c r="K147" s="5">
        <v>18</v>
      </c>
      <c r="L147" s="5">
        <f t="shared" si="16"/>
        <v>0</v>
      </c>
    </row>
    <row r="148" spans="1:12" ht="15" customHeight="1" hidden="1">
      <c r="A148" s="20"/>
      <c r="B148" s="43">
        <v>0</v>
      </c>
      <c r="C148" s="42" t="s">
        <v>140</v>
      </c>
      <c r="D148" s="42"/>
      <c r="E148" s="24"/>
      <c r="F148" s="64">
        <f t="shared" si="19"/>
      </c>
      <c r="G148" s="23">
        <v>2.5</v>
      </c>
      <c r="H148" s="30">
        <f t="shared" si="18"/>
        <v>0</v>
      </c>
      <c r="K148" s="5">
        <v>18</v>
      </c>
      <c r="L148" s="5">
        <f t="shared" si="16"/>
        <v>0</v>
      </c>
    </row>
    <row r="149" spans="1:12" ht="15" customHeight="1" hidden="1">
      <c r="A149" s="20"/>
      <c r="B149" s="43">
        <v>0</v>
      </c>
      <c r="C149" s="42" t="s">
        <v>141</v>
      </c>
      <c r="D149" s="42"/>
      <c r="E149" s="24"/>
      <c r="F149" s="64">
        <f t="shared" si="19"/>
      </c>
      <c r="G149" s="23">
        <v>2.5</v>
      </c>
      <c r="H149" s="30">
        <f t="shared" si="18"/>
        <v>0</v>
      </c>
      <c r="K149" s="5">
        <v>18</v>
      </c>
      <c r="L149" s="5">
        <f t="shared" si="16"/>
        <v>0</v>
      </c>
    </row>
    <row r="150" spans="1:12" ht="15" customHeight="1" hidden="1">
      <c r="A150" s="20"/>
      <c r="B150" s="43">
        <f>2-1</f>
        <v>1</v>
      </c>
      <c r="C150" s="42" t="s">
        <v>285</v>
      </c>
      <c r="D150" s="42"/>
      <c r="E150" s="24"/>
      <c r="F150" s="64">
        <f t="shared" si="19"/>
      </c>
      <c r="G150" s="23">
        <v>3</v>
      </c>
      <c r="H150" s="30">
        <f t="shared" si="18"/>
        <v>0</v>
      </c>
      <c r="K150" s="5">
        <v>18</v>
      </c>
      <c r="L150" s="5">
        <f t="shared" si="16"/>
        <v>0</v>
      </c>
    </row>
    <row r="151" spans="1:12" ht="15" customHeight="1" hidden="1">
      <c r="A151" s="20"/>
      <c r="B151" s="43">
        <v>2</v>
      </c>
      <c r="C151" s="42" t="s">
        <v>286</v>
      </c>
      <c r="D151" s="42"/>
      <c r="E151" s="24"/>
      <c r="F151" s="64">
        <f t="shared" si="19"/>
      </c>
      <c r="G151" s="23">
        <v>2.5</v>
      </c>
      <c r="H151" s="30">
        <f t="shared" si="18"/>
        <v>0</v>
      </c>
      <c r="K151" s="5">
        <v>18</v>
      </c>
      <c r="L151" s="5">
        <f t="shared" si="16"/>
        <v>0</v>
      </c>
    </row>
    <row r="152" spans="1:12" ht="15" customHeight="1" hidden="1">
      <c r="A152" s="20"/>
      <c r="B152" s="43">
        <v>2</v>
      </c>
      <c r="C152" s="42" t="s">
        <v>287</v>
      </c>
      <c r="D152" s="42"/>
      <c r="E152" s="24"/>
      <c r="F152" s="64">
        <f>IF(E152&gt;B152,"?","")</f>
      </c>
      <c r="G152" s="23">
        <v>2.5</v>
      </c>
      <c r="H152" s="30">
        <f>MIN(IF(E152="",0,E152),B152)*G152</f>
        <v>0</v>
      </c>
      <c r="K152" s="5">
        <v>18</v>
      </c>
      <c r="L152" s="5">
        <f t="shared" si="16"/>
        <v>0</v>
      </c>
    </row>
    <row r="153" spans="1:12" ht="15" customHeight="1" hidden="1">
      <c r="A153" s="20"/>
      <c r="B153" s="43">
        <v>0</v>
      </c>
      <c r="C153" s="42" t="s">
        <v>173</v>
      </c>
      <c r="D153" s="42"/>
      <c r="E153" s="24"/>
      <c r="F153" s="64">
        <f>IF(E153&gt;B153,"?","")</f>
      </c>
      <c r="G153" s="23">
        <v>3.5</v>
      </c>
      <c r="H153" s="30">
        <f>MIN(IF(E153="",0,E153),B153)*G153</f>
        <v>0</v>
      </c>
      <c r="K153" s="5">
        <v>18</v>
      </c>
      <c r="L153" s="5">
        <f aca="true" t="shared" si="20" ref="L153:L159">E153/K153</f>
        <v>0</v>
      </c>
    </row>
    <row r="154" spans="1:12" ht="15" customHeight="1" hidden="1">
      <c r="A154" s="20"/>
      <c r="B154" s="43">
        <v>0</v>
      </c>
      <c r="C154" s="42" t="s">
        <v>174</v>
      </c>
      <c r="D154" s="42"/>
      <c r="E154" s="24"/>
      <c r="F154" s="64">
        <f>IF(E154&gt;B154,"?","")</f>
      </c>
      <c r="G154" s="23">
        <v>3.5</v>
      </c>
      <c r="H154" s="30">
        <f>MIN(IF(E154="",0,E154),B154)*G154</f>
        <v>0</v>
      </c>
      <c r="K154" s="5">
        <v>18</v>
      </c>
      <c r="L154" s="5">
        <f t="shared" si="20"/>
        <v>0</v>
      </c>
    </row>
    <row r="155" spans="1:12" ht="15" customHeight="1" hidden="1">
      <c r="A155" s="20"/>
      <c r="B155" s="43">
        <v>0</v>
      </c>
      <c r="C155" s="42" t="s">
        <v>175</v>
      </c>
      <c r="D155" s="42"/>
      <c r="E155" s="24"/>
      <c r="F155" s="64">
        <f>IF(E155&gt;B155,"?","")</f>
      </c>
      <c r="G155" s="23">
        <v>3.5</v>
      </c>
      <c r="H155" s="30">
        <f>MIN(IF(E155="",0,E155),B155)*G155</f>
        <v>0</v>
      </c>
      <c r="K155" s="5">
        <v>18</v>
      </c>
      <c r="L155" s="5">
        <f t="shared" si="20"/>
        <v>0</v>
      </c>
    </row>
    <row r="156" spans="1:12" ht="15" customHeight="1" hidden="1">
      <c r="A156" s="20"/>
      <c r="B156" s="45" t="s">
        <v>170</v>
      </c>
      <c r="C156" s="42"/>
      <c r="D156" s="20"/>
      <c r="E156" s="48"/>
      <c r="F156" s="64">
        <f aca="true" t="shared" si="21" ref="F156:F165">IF(E156&gt;B156,"?","")</f>
      </c>
      <c r="G156" s="23"/>
      <c r="H156" s="38"/>
      <c r="K156" s="5">
        <v>18</v>
      </c>
      <c r="L156" s="5">
        <f t="shared" si="20"/>
        <v>0</v>
      </c>
    </row>
    <row r="157" spans="1:12" ht="15" customHeight="1" hidden="1">
      <c r="A157" s="20"/>
      <c r="B157" s="43">
        <v>0</v>
      </c>
      <c r="C157" s="42" t="s">
        <v>156</v>
      </c>
      <c r="D157" s="42"/>
      <c r="E157" s="24"/>
      <c r="F157" s="64">
        <f t="shared" si="21"/>
      </c>
      <c r="G157" s="23">
        <v>3</v>
      </c>
      <c r="H157" s="30">
        <f aca="true" t="shared" si="22" ref="H157:H165">MIN(IF(E157="",0,E157),B157)*G157</f>
        <v>0</v>
      </c>
      <c r="K157" s="5">
        <v>18</v>
      </c>
      <c r="L157" s="5">
        <f t="shared" si="20"/>
        <v>0</v>
      </c>
    </row>
    <row r="158" spans="1:12" ht="15" customHeight="1" hidden="1">
      <c r="A158" s="20"/>
      <c r="B158" s="43">
        <v>0</v>
      </c>
      <c r="C158" s="42" t="s">
        <v>167</v>
      </c>
      <c r="D158" s="42"/>
      <c r="E158" s="22"/>
      <c r="F158" s="64">
        <f t="shared" si="21"/>
      </c>
      <c r="G158" s="23">
        <v>3</v>
      </c>
      <c r="H158" s="30">
        <f t="shared" si="22"/>
        <v>0</v>
      </c>
      <c r="K158" s="5">
        <v>18</v>
      </c>
      <c r="L158" s="5">
        <f t="shared" si="20"/>
        <v>0</v>
      </c>
    </row>
    <row r="159" spans="1:12" ht="15" customHeight="1" hidden="1">
      <c r="A159" s="20"/>
      <c r="B159" s="43">
        <f>1</f>
        <v>1</v>
      </c>
      <c r="C159" s="42" t="s">
        <v>157</v>
      </c>
      <c r="D159" s="42"/>
      <c r="E159" s="22"/>
      <c r="F159" s="64">
        <f t="shared" si="21"/>
      </c>
      <c r="G159" s="23">
        <v>3</v>
      </c>
      <c r="H159" s="30">
        <f t="shared" si="22"/>
        <v>0</v>
      </c>
      <c r="K159" s="5">
        <v>18</v>
      </c>
      <c r="L159" s="5">
        <f t="shared" si="20"/>
        <v>0</v>
      </c>
    </row>
    <row r="160" spans="1:12" ht="15" customHeight="1" hidden="1">
      <c r="A160" s="20"/>
      <c r="B160" s="43">
        <v>0</v>
      </c>
      <c r="C160" s="42" t="s">
        <v>171</v>
      </c>
      <c r="D160" s="42"/>
      <c r="E160" s="22"/>
      <c r="F160" s="64">
        <f t="shared" si="21"/>
      </c>
      <c r="G160" s="23">
        <v>3</v>
      </c>
      <c r="H160" s="30">
        <f t="shared" si="22"/>
        <v>0</v>
      </c>
      <c r="K160" s="5">
        <v>18</v>
      </c>
      <c r="L160" s="5">
        <f aca="true" t="shared" si="23" ref="L160:L165">E160/K160</f>
        <v>0</v>
      </c>
    </row>
    <row r="161" spans="1:12" ht="15" customHeight="1" hidden="1">
      <c r="A161" s="20"/>
      <c r="B161" s="43">
        <v>0</v>
      </c>
      <c r="C161" s="42" t="s">
        <v>172</v>
      </c>
      <c r="D161" s="42"/>
      <c r="E161" s="22"/>
      <c r="F161" s="64">
        <f t="shared" si="21"/>
      </c>
      <c r="G161" s="23">
        <v>3</v>
      </c>
      <c r="H161" s="30">
        <f t="shared" si="22"/>
        <v>0</v>
      </c>
      <c r="K161" s="5">
        <v>18</v>
      </c>
      <c r="L161" s="5">
        <f t="shared" si="23"/>
        <v>0</v>
      </c>
    </row>
    <row r="162" spans="1:12" ht="15" customHeight="1" hidden="1">
      <c r="A162" s="20"/>
      <c r="B162" s="43">
        <v>1</v>
      </c>
      <c r="C162" s="42" t="s">
        <v>291</v>
      </c>
      <c r="D162" s="42"/>
      <c r="E162" s="22"/>
      <c r="F162" s="64">
        <f t="shared" si="21"/>
      </c>
      <c r="G162" s="23">
        <v>3</v>
      </c>
      <c r="H162" s="30">
        <f t="shared" si="22"/>
        <v>0</v>
      </c>
      <c r="K162" s="5">
        <v>18</v>
      </c>
      <c r="L162" s="5">
        <f t="shared" si="23"/>
        <v>0</v>
      </c>
    </row>
    <row r="163" spans="1:12" ht="15" customHeight="1" hidden="1">
      <c r="A163" s="20"/>
      <c r="B163" s="43">
        <v>2</v>
      </c>
      <c r="C163" s="42" t="s">
        <v>288</v>
      </c>
      <c r="D163" s="42"/>
      <c r="E163" s="22"/>
      <c r="F163" s="64">
        <f t="shared" si="21"/>
      </c>
      <c r="G163" s="23">
        <v>3.5</v>
      </c>
      <c r="H163" s="30">
        <f t="shared" si="22"/>
        <v>0</v>
      </c>
      <c r="K163" s="5">
        <v>18</v>
      </c>
      <c r="L163" s="5">
        <f t="shared" si="23"/>
        <v>0</v>
      </c>
    </row>
    <row r="164" spans="1:12" ht="15" customHeight="1" hidden="1">
      <c r="A164" s="20"/>
      <c r="B164" s="43">
        <f>1+(1)</f>
        <v>2</v>
      </c>
      <c r="C164" s="42" t="s">
        <v>289</v>
      </c>
      <c r="D164" s="42"/>
      <c r="E164" s="22"/>
      <c r="F164" s="64">
        <f t="shared" si="21"/>
      </c>
      <c r="G164" s="23">
        <v>3.5</v>
      </c>
      <c r="H164" s="30">
        <f t="shared" si="22"/>
        <v>0</v>
      </c>
      <c r="K164" s="5">
        <v>18</v>
      </c>
      <c r="L164" s="5">
        <f t="shared" si="23"/>
        <v>0</v>
      </c>
    </row>
    <row r="165" spans="1:12" ht="15" customHeight="1" hidden="1">
      <c r="A165" s="20"/>
      <c r="B165" s="43">
        <v>4</v>
      </c>
      <c r="C165" s="42" t="s">
        <v>290</v>
      </c>
      <c r="D165" s="42"/>
      <c r="E165" s="22"/>
      <c r="F165" s="64">
        <f t="shared" si="21"/>
      </c>
      <c r="G165" s="23">
        <v>3.5</v>
      </c>
      <c r="H165" s="30">
        <f t="shared" si="22"/>
        <v>0</v>
      </c>
      <c r="K165" s="5">
        <v>18</v>
      </c>
      <c r="L165" s="5">
        <f t="shared" si="23"/>
        <v>0</v>
      </c>
    </row>
    <row r="166" spans="1:12" ht="15" customHeight="1" hidden="1">
      <c r="A166" s="20"/>
      <c r="B166" s="45" t="s">
        <v>107</v>
      </c>
      <c r="C166" s="42"/>
      <c r="D166" s="20"/>
      <c r="E166" s="48"/>
      <c r="F166" s="64"/>
      <c r="G166" s="23"/>
      <c r="H166" s="38"/>
      <c r="K166" s="5">
        <v>18</v>
      </c>
      <c r="L166" s="5">
        <f t="shared" si="16"/>
        <v>0</v>
      </c>
    </row>
    <row r="167" spans="1:12" ht="15" customHeight="1" hidden="1">
      <c r="A167" s="20"/>
      <c r="B167" s="43">
        <v>0</v>
      </c>
      <c r="C167" s="42" t="s">
        <v>108</v>
      </c>
      <c r="D167" s="42"/>
      <c r="E167" s="24"/>
      <c r="F167" s="64">
        <f aca="true" t="shared" si="24" ref="F167:F174">IF(E167&gt;B167,"?","")</f>
      </c>
      <c r="G167" s="23">
        <v>3</v>
      </c>
      <c r="H167" s="30">
        <f>MIN(IF(E167="",0,E167),B167)*G167</f>
        <v>0</v>
      </c>
      <c r="K167" s="5">
        <v>12</v>
      </c>
      <c r="L167" s="5">
        <f t="shared" si="16"/>
        <v>0</v>
      </c>
    </row>
    <row r="168" spans="1:12" ht="15" customHeight="1" hidden="1">
      <c r="A168" s="20"/>
      <c r="B168" s="43">
        <f>20-20</f>
        <v>0</v>
      </c>
      <c r="C168" s="42" t="s">
        <v>109</v>
      </c>
      <c r="D168" s="42"/>
      <c r="E168" s="24"/>
      <c r="F168" s="64">
        <f t="shared" si="24"/>
      </c>
      <c r="G168" s="23">
        <v>3</v>
      </c>
      <c r="H168" s="30">
        <f>MIN(IF(E168="",0,E168),B168)*G168</f>
        <v>0</v>
      </c>
      <c r="K168" s="5">
        <v>12</v>
      </c>
      <c r="L168" s="5">
        <f t="shared" si="16"/>
        <v>0</v>
      </c>
    </row>
    <row r="169" spans="1:12" ht="15" customHeight="1" hidden="1">
      <c r="A169" s="20"/>
      <c r="B169" s="43">
        <v>0</v>
      </c>
      <c r="C169" s="42" t="s">
        <v>110</v>
      </c>
      <c r="D169" s="42"/>
      <c r="E169" s="24"/>
      <c r="F169" s="64">
        <f t="shared" si="24"/>
      </c>
      <c r="G169" s="23">
        <v>3</v>
      </c>
      <c r="H169" s="30">
        <f>MIN(IF(E169="",0,E169),B169)*G169</f>
        <v>0</v>
      </c>
      <c r="K169" s="5">
        <v>12</v>
      </c>
      <c r="L169" s="5">
        <f t="shared" si="16"/>
        <v>0</v>
      </c>
    </row>
    <row r="170" spans="1:12" ht="15" customHeight="1" hidden="1">
      <c r="A170" s="20"/>
      <c r="B170" s="43">
        <v>0</v>
      </c>
      <c r="C170" s="42" t="s">
        <v>111</v>
      </c>
      <c r="D170" s="42"/>
      <c r="E170" s="24"/>
      <c r="F170" s="64">
        <f t="shared" si="24"/>
      </c>
      <c r="G170" s="23">
        <v>3</v>
      </c>
      <c r="H170" s="38">
        <f>MIN(IF(E170="",0,E170),B170)*G170</f>
        <v>0</v>
      </c>
      <c r="K170" s="5">
        <v>18</v>
      </c>
      <c r="L170" s="5">
        <f t="shared" si="16"/>
        <v>0</v>
      </c>
    </row>
    <row r="171" spans="1:12" ht="15" customHeight="1">
      <c r="A171" s="20"/>
      <c r="B171" s="45" t="s">
        <v>63</v>
      </c>
      <c r="C171" s="42"/>
      <c r="D171" s="20"/>
      <c r="E171" s="48"/>
      <c r="F171" s="64">
        <f t="shared" si="24"/>
      </c>
      <c r="G171" s="23"/>
      <c r="H171" s="38"/>
      <c r="K171" s="5">
        <v>18</v>
      </c>
      <c r="L171" s="5">
        <f t="shared" si="16"/>
        <v>0</v>
      </c>
    </row>
    <row r="172" spans="1:12" ht="15" customHeight="1">
      <c r="A172" s="20"/>
      <c r="B172" s="43">
        <f>23-4-1-3-4-1+23-1-2-6-1-1-1-1-8-1+13-1-1-1-2</f>
        <v>19</v>
      </c>
      <c r="C172" s="42" t="s">
        <v>41</v>
      </c>
      <c r="D172" s="20"/>
      <c r="E172" s="24"/>
      <c r="F172" s="64">
        <f t="shared" si="24"/>
      </c>
      <c r="G172" s="23">
        <v>3</v>
      </c>
      <c r="H172" s="30">
        <f>MIN(IF(E172="",0,E172),B172)*G172</f>
        <v>0</v>
      </c>
      <c r="K172" s="5">
        <v>18</v>
      </c>
      <c r="L172" s="5">
        <f t="shared" si="16"/>
        <v>0</v>
      </c>
    </row>
    <row r="173" spans="1:12" ht="15" customHeight="1">
      <c r="A173" s="20"/>
      <c r="B173" s="43">
        <f>13-4-1-2-2-3-1+29-1-1-2-1-1-1-1-1-1-1-1-6+20-1-1-2-4-1-1-2</f>
        <v>19</v>
      </c>
      <c r="C173" s="42" t="s">
        <v>42</v>
      </c>
      <c r="D173" s="42"/>
      <c r="E173" s="22"/>
      <c r="F173" s="64">
        <f t="shared" si="24"/>
      </c>
      <c r="G173" s="23">
        <v>3</v>
      </c>
      <c r="H173" s="30">
        <f>MIN(IF(E173="",0,E173),B173)*G173</f>
        <v>0</v>
      </c>
      <c r="K173" s="5">
        <v>18</v>
      </c>
      <c r="L173" s="5">
        <f t="shared" si="16"/>
        <v>0</v>
      </c>
    </row>
    <row r="174" spans="1:12" ht="15" customHeight="1">
      <c r="A174" s="20"/>
      <c r="B174" s="43">
        <f>18-4-2-3-4-(2)-1+(2)+30-1-5-1-2-1-1-1-2-1-4-1+17-2-1-2-1</f>
        <v>25</v>
      </c>
      <c r="C174" s="42" t="s">
        <v>43</v>
      </c>
      <c r="D174" s="42"/>
      <c r="E174" s="22"/>
      <c r="F174" s="64">
        <f t="shared" si="24"/>
      </c>
      <c r="G174" s="23">
        <v>3</v>
      </c>
      <c r="H174" s="30">
        <f>MIN(IF(E174="",0,E174),B174)*G174</f>
        <v>0</v>
      </c>
      <c r="K174" s="5">
        <v>18</v>
      </c>
      <c r="L174" s="5">
        <f t="shared" si="16"/>
        <v>0</v>
      </c>
    </row>
    <row r="175" spans="1:8" ht="15" customHeight="1">
      <c r="A175" s="20"/>
      <c r="B175" s="45" t="s">
        <v>44</v>
      </c>
      <c r="C175" s="42"/>
      <c r="D175" s="20"/>
      <c r="E175" s="48"/>
      <c r="F175" s="64"/>
      <c r="G175" s="23"/>
      <c r="H175" s="38"/>
    </row>
    <row r="176" spans="1:12" ht="15" customHeight="1">
      <c r="A176" s="20"/>
      <c r="B176" s="43">
        <f>21-1-2-2-2-2-2-3-2-(2)+13-2+12-1-1-(1)+5-1-3-1-2-(4)+23-(3)-1-2-2-2-(2)-1</f>
        <v>27</v>
      </c>
      <c r="C176" s="42" t="s">
        <v>14</v>
      </c>
      <c r="D176" s="20"/>
      <c r="E176" s="24"/>
      <c r="F176" s="64">
        <f aca="true" t="shared" si="25" ref="F176:F213">IF(E176&gt;B176,"?","")</f>
      </c>
      <c r="G176" s="23">
        <v>3</v>
      </c>
      <c r="H176" s="30">
        <f>E176*G176</f>
        <v>0</v>
      </c>
      <c r="K176" s="5">
        <v>18</v>
      </c>
      <c r="L176" s="5">
        <f t="shared" si="16"/>
        <v>0</v>
      </c>
    </row>
    <row r="177" spans="1:12" ht="15" customHeight="1">
      <c r="A177" s="20"/>
      <c r="B177" s="43">
        <f>27-3-2-1-1-2-1-10-(4)+13-3-1-1-3+14-2-3-(4)-2+24+7-1-1-1-2-2-13-2-1-3-3-1-(6)-2+48-1-1-4</f>
        <v>46</v>
      </c>
      <c r="C177" s="42" t="s">
        <v>30</v>
      </c>
      <c r="D177" s="20"/>
      <c r="E177" s="24"/>
      <c r="F177" s="64">
        <f t="shared" si="25"/>
      </c>
      <c r="G177" s="23">
        <v>4</v>
      </c>
      <c r="H177" s="30">
        <f aca="true" t="shared" si="26" ref="H177:H201">MIN(IF(E177="",0,E177),B177)*G177</f>
        <v>0</v>
      </c>
      <c r="K177" s="5">
        <v>18</v>
      </c>
      <c r="L177" s="5">
        <f t="shared" si="16"/>
        <v>0</v>
      </c>
    </row>
    <row r="178" spans="1:12" ht="15" customHeight="1" hidden="1">
      <c r="A178" s="20"/>
      <c r="B178" s="43">
        <f>5-1-1-1-(2)</f>
        <v>0</v>
      </c>
      <c r="C178" s="42" t="s">
        <v>250</v>
      </c>
      <c r="D178" s="42"/>
      <c r="E178" s="22"/>
      <c r="F178" s="64">
        <f t="shared" si="25"/>
      </c>
      <c r="G178" s="23">
        <v>5</v>
      </c>
      <c r="H178" s="30">
        <f t="shared" si="26"/>
        <v>0</v>
      </c>
      <c r="K178" s="5">
        <v>18</v>
      </c>
      <c r="L178" s="5">
        <f t="shared" si="16"/>
        <v>0</v>
      </c>
    </row>
    <row r="179" spans="1:12" ht="15" customHeight="1" hidden="1">
      <c r="A179" s="20"/>
      <c r="B179" s="43">
        <f>2-1-1</f>
        <v>0</v>
      </c>
      <c r="C179" s="42" t="s">
        <v>251</v>
      </c>
      <c r="D179" s="42"/>
      <c r="E179" s="22"/>
      <c r="F179" s="64">
        <f t="shared" si="25"/>
      </c>
      <c r="G179" s="23">
        <v>5</v>
      </c>
      <c r="H179" s="30">
        <f t="shared" si="26"/>
        <v>0</v>
      </c>
      <c r="K179" s="5">
        <v>18</v>
      </c>
      <c r="L179" s="5">
        <f t="shared" si="16"/>
        <v>0</v>
      </c>
    </row>
    <row r="180" spans="1:12" ht="15" customHeight="1">
      <c r="A180" s="20"/>
      <c r="B180" s="43">
        <f>6-1</f>
        <v>5</v>
      </c>
      <c r="C180" s="42" t="s">
        <v>248</v>
      </c>
      <c r="D180" s="42"/>
      <c r="E180" s="22"/>
      <c r="F180" s="64">
        <f t="shared" si="25"/>
      </c>
      <c r="G180" s="23">
        <v>5</v>
      </c>
      <c r="H180" s="30">
        <f t="shared" si="26"/>
        <v>0</v>
      </c>
      <c r="K180" s="5">
        <v>18</v>
      </c>
      <c r="L180" s="5">
        <f t="shared" si="16"/>
        <v>0</v>
      </c>
    </row>
    <row r="181" spans="1:12" ht="15" customHeight="1">
      <c r="A181" s="20"/>
      <c r="B181" s="43">
        <f>5-1-2-1</f>
        <v>1</v>
      </c>
      <c r="C181" s="42" t="s">
        <v>249</v>
      </c>
      <c r="D181" s="42"/>
      <c r="E181" s="22"/>
      <c r="F181" s="64">
        <f t="shared" si="25"/>
      </c>
      <c r="G181" s="23">
        <v>5</v>
      </c>
      <c r="H181" s="30">
        <f t="shared" si="26"/>
        <v>0</v>
      </c>
      <c r="K181" s="5">
        <v>18</v>
      </c>
      <c r="L181" s="5">
        <f t="shared" si="16"/>
        <v>0</v>
      </c>
    </row>
    <row r="182" spans="1:12" ht="15" customHeight="1">
      <c r="A182" s="20"/>
      <c r="B182" s="43">
        <f>4+29-3-1-2-1-10-1-4-(4)+15-1-3-1-1-(1)+24-1+5-3-2-1-2-(5)-1-1-2+5-2-3-3-1-(6)-1-3+24-1-1-1-1-4-5-1</f>
        <v>22</v>
      </c>
      <c r="C182" s="42" t="s">
        <v>18</v>
      </c>
      <c r="D182" s="20"/>
      <c r="E182" s="24"/>
      <c r="F182" s="64">
        <f>IF(E182&gt;B182,"?","")</f>
      </c>
      <c r="G182" s="23">
        <v>3</v>
      </c>
      <c r="H182" s="30">
        <f>MIN(IF(E182="",0,E182),B182)*G182</f>
        <v>0</v>
      </c>
      <c r="K182" s="5">
        <v>18</v>
      </c>
      <c r="L182" s="5">
        <f>E182/K182</f>
        <v>0</v>
      </c>
    </row>
    <row r="183" spans="1:12" ht="15" customHeight="1">
      <c r="A183" s="20"/>
      <c r="B183" s="43" t="s">
        <v>31</v>
      </c>
      <c r="C183" s="42" t="s">
        <v>16</v>
      </c>
      <c r="D183" s="20"/>
      <c r="E183" s="24"/>
      <c r="F183" s="64">
        <f>IF(E183&gt;B183,"?","")</f>
      </c>
      <c r="G183" s="23">
        <v>3</v>
      </c>
      <c r="H183" s="30">
        <f>MIN(IF(E183="",0,E183),B183)*G183</f>
        <v>0</v>
      </c>
      <c r="K183" s="5">
        <v>18</v>
      </c>
      <c r="L183" s="5">
        <f>E183/K183</f>
        <v>0</v>
      </c>
    </row>
    <row r="184" spans="1:12" ht="15" customHeight="1">
      <c r="A184" s="20"/>
      <c r="B184" s="43">
        <f>14-1+10-5-4-1-3-3-1-2-4+17+12-1-3-3-1-1-1+23-1-1-5-2-1-2-1-1-1-11-2-1-2-2-3-4+48-1-1-(1)-1-1-4-5-1</f>
        <v>35</v>
      </c>
      <c r="C184" s="42" t="s">
        <v>15</v>
      </c>
      <c r="D184" s="71"/>
      <c r="E184" s="24"/>
      <c r="F184" s="64">
        <f>IF(E184&gt;B184,"?","")</f>
      </c>
      <c r="G184" s="23">
        <v>3</v>
      </c>
      <c r="H184" s="30">
        <f>MIN(IF(E184="",0,E184),B184)*G184</f>
        <v>0</v>
      </c>
      <c r="K184" s="5">
        <v>18</v>
      </c>
      <c r="L184" s="5">
        <f>E184/K184</f>
        <v>0</v>
      </c>
    </row>
    <row r="185" spans="1:12" ht="15" customHeight="1" hidden="1">
      <c r="A185" s="20"/>
      <c r="B185" s="43">
        <f>14-4-3-7</f>
        <v>0</v>
      </c>
      <c r="C185" s="42" t="s">
        <v>15</v>
      </c>
      <c r="D185" s="42" t="s">
        <v>116</v>
      </c>
      <c r="E185" s="24"/>
      <c r="F185" s="64">
        <f>IF(E185&gt;B185,"?","")</f>
      </c>
      <c r="G185" s="23">
        <v>3</v>
      </c>
      <c r="H185" s="30">
        <f>MIN(IF(E185="",0,E185),B185)*G185</f>
        <v>0</v>
      </c>
      <c r="K185" s="5">
        <v>18</v>
      </c>
      <c r="L185" s="5">
        <f>E185/K185</f>
        <v>0</v>
      </c>
    </row>
    <row r="186" spans="1:12" ht="15" customHeight="1">
      <c r="A186" s="20"/>
      <c r="B186" s="43">
        <f>14-1-2-2-2-2-1+3-1-2-1-(1)+18-10-1-1+21-3+(3)-1-4+8-1-2-2-1-(7)-12-(2)+36-1+(1)-5-2-1</f>
        <v>33</v>
      </c>
      <c r="C186" s="41" t="s">
        <v>19</v>
      </c>
      <c r="D186" s="20"/>
      <c r="E186" s="24"/>
      <c r="F186" s="64">
        <f>IF(E186&gt;B186,"?","")</f>
      </c>
      <c r="G186" s="23">
        <v>3</v>
      </c>
      <c r="H186" s="30">
        <f>MIN(IF(E186="",0,E186),B186)*G186</f>
        <v>0</v>
      </c>
      <c r="K186" s="5">
        <v>18</v>
      </c>
      <c r="L186" s="5">
        <f>E186/K186</f>
        <v>0</v>
      </c>
    </row>
    <row r="187" spans="1:12" ht="15" customHeight="1">
      <c r="A187" s="20"/>
      <c r="B187" s="43">
        <f>10-1+1-2-1-2-(2)+20-10-1-1-1+12-3-1+(1)-1-1-(6)-1-1+19-1-2-10-1-5-2-1</f>
        <v>6</v>
      </c>
      <c r="C187" s="42" t="s">
        <v>17</v>
      </c>
      <c r="D187" s="20"/>
      <c r="E187" s="24"/>
      <c r="F187" s="64">
        <f t="shared" si="25"/>
      </c>
      <c r="G187" s="23">
        <v>3</v>
      </c>
      <c r="H187" s="30">
        <f t="shared" si="26"/>
        <v>0</v>
      </c>
      <c r="K187" s="5">
        <v>18</v>
      </c>
      <c r="L187" s="5">
        <f t="shared" si="16"/>
        <v>0</v>
      </c>
    </row>
    <row r="188" spans="1:12" ht="15" customHeight="1">
      <c r="A188" s="20"/>
      <c r="B188" s="43">
        <f>14-2-1-1-4+12+3-2-5-3-4-1-4+(1)+39-(1)</f>
        <v>41</v>
      </c>
      <c r="C188" s="42" t="s">
        <v>45</v>
      </c>
      <c r="D188" s="71"/>
      <c r="E188" s="24"/>
      <c r="F188" s="64">
        <f>IF(E188&gt;B188,"?","")</f>
      </c>
      <c r="G188" s="23">
        <v>4</v>
      </c>
      <c r="H188" s="30">
        <f>MIN(IF(E188="",0,E188),B188)*G188</f>
        <v>0</v>
      </c>
      <c r="K188" s="5">
        <v>18</v>
      </c>
      <c r="L188" s="5">
        <f>E188/K188</f>
        <v>0</v>
      </c>
    </row>
    <row r="189" spans="1:12" ht="15" customHeight="1">
      <c r="A189" s="20"/>
      <c r="B189" s="43">
        <f>20-1-2-1+(1)-1-1-2-1-6-1-1-2-2+23-5+(5)</f>
        <v>23</v>
      </c>
      <c r="C189" s="42" t="s">
        <v>38</v>
      </c>
      <c r="D189" s="71"/>
      <c r="E189" s="24"/>
      <c r="F189" s="64">
        <f t="shared" si="25"/>
      </c>
      <c r="G189" s="23">
        <v>4</v>
      </c>
      <c r="H189" s="30">
        <f t="shared" si="26"/>
        <v>0</v>
      </c>
      <c r="K189" s="5">
        <v>18</v>
      </c>
      <c r="L189" s="5">
        <f t="shared" si="16"/>
        <v>0</v>
      </c>
    </row>
    <row r="190" spans="1:12" ht="15" customHeight="1">
      <c r="A190" s="20"/>
      <c r="B190" s="43">
        <f>6-3</f>
        <v>3</v>
      </c>
      <c r="C190" s="42" t="s">
        <v>32</v>
      </c>
      <c r="D190" s="42" t="s">
        <v>91</v>
      </c>
      <c r="E190" s="24"/>
      <c r="F190" s="64">
        <f t="shared" si="25"/>
      </c>
      <c r="G190" s="23">
        <v>5</v>
      </c>
      <c r="H190" s="30">
        <f t="shared" si="26"/>
        <v>0</v>
      </c>
      <c r="K190" s="5">
        <v>18</v>
      </c>
      <c r="L190" s="5">
        <f t="shared" si="16"/>
        <v>0</v>
      </c>
    </row>
    <row r="191" spans="1:12" ht="15" customHeight="1" hidden="1">
      <c r="A191" s="20"/>
      <c r="B191" s="43">
        <f>3-1-1-(1)</f>
        <v>0</v>
      </c>
      <c r="C191" s="41" t="s">
        <v>24</v>
      </c>
      <c r="D191" s="20"/>
      <c r="E191" s="24"/>
      <c r="F191" s="64">
        <f t="shared" si="25"/>
      </c>
      <c r="G191" s="23">
        <v>5</v>
      </c>
      <c r="H191" s="30">
        <f>MIN(IF(E191="",0,E191),B191)*G191</f>
        <v>0</v>
      </c>
      <c r="K191" s="5">
        <v>18</v>
      </c>
      <c r="L191" s="5">
        <f>E191/K191</f>
        <v>0</v>
      </c>
    </row>
    <row r="192" spans="1:12" ht="15" customHeight="1" hidden="1">
      <c r="A192" s="20"/>
      <c r="B192" s="43">
        <v>0</v>
      </c>
      <c r="C192" s="41" t="s">
        <v>32</v>
      </c>
      <c r="D192" s="20"/>
      <c r="E192" s="24"/>
      <c r="F192" s="64">
        <f t="shared" si="25"/>
      </c>
      <c r="G192" s="23">
        <v>5</v>
      </c>
      <c r="H192" s="30">
        <f t="shared" si="26"/>
        <v>0</v>
      </c>
      <c r="K192" s="5">
        <v>18</v>
      </c>
      <c r="L192" s="5">
        <f t="shared" si="16"/>
        <v>0</v>
      </c>
    </row>
    <row r="193" spans="1:12" ht="15" customHeight="1" hidden="1">
      <c r="A193" s="20"/>
      <c r="B193" s="43">
        <f>1-1</f>
        <v>0</v>
      </c>
      <c r="C193" s="42" t="s">
        <v>37</v>
      </c>
      <c r="D193" s="42"/>
      <c r="E193" s="24"/>
      <c r="F193" s="64">
        <f t="shared" si="25"/>
      </c>
      <c r="G193" s="23">
        <v>5</v>
      </c>
      <c r="H193" s="30">
        <f t="shared" si="26"/>
        <v>0</v>
      </c>
      <c r="K193" s="5">
        <v>18</v>
      </c>
      <c r="L193" s="5">
        <f aca="true" t="shared" si="27" ref="L193:L236">E193/K193</f>
        <v>0</v>
      </c>
    </row>
    <row r="194" spans="1:12" ht="15" customHeight="1" hidden="1">
      <c r="A194" s="20"/>
      <c r="B194" s="43">
        <f>1-1</f>
        <v>0</v>
      </c>
      <c r="C194" s="42" t="s">
        <v>35</v>
      </c>
      <c r="D194" s="20"/>
      <c r="E194" s="24"/>
      <c r="F194" s="64">
        <f>IF(E194&gt;B194,"?","")</f>
      </c>
      <c r="G194" s="23">
        <v>5</v>
      </c>
      <c r="H194" s="30">
        <f>MIN(IF(E194="",0,E194),B194)*G194</f>
        <v>0</v>
      </c>
      <c r="K194" s="5">
        <v>18</v>
      </c>
      <c r="L194" s="5">
        <f>E194/K194</f>
        <v>0</v>
      </c>
    </row>
    <row r="195" spans="1:12" ht="15" customHeight="1">
      <c r="A195" s="20"/>
      <c r="B195" s="43">
        <f>4-2-1+4</f>
        <v>5</v>
      </c>
      <c r="C195" s="42" t="s">
        <v>34</v>
      </c>
      <c r="D195" s="20"/>
      <c r="E195" s="24"/>
      <c r="F195" s="64">
        <f>IF(E195&gt;B195,"?","")</f>
      </c>
      <c r="G195" s="23">
        <v>3</v>
      </c>
      <c r="H195" s="30">
        <f>MIN(IF(E195="",0,E195),B195)*G195</f>
        <v>0</v>
      </c>
      <c r="K195" s="5">
        <v>18</v>
      </c>
      <c r="L195" s="5">
        <f>E195/K195</f>
        <v>0</v>
      </c>
    </row>
    <row r="196" spans="1:12" ht="15" customHeight="1">
      <c r="A196" s="20"/>
      <c r="B196" s="43">
        <f>11-2-1-1-2-2</f>
        <v>3</v>
      </c>
      <c r="C196" s="42" t="s">
        <v>164</v>
      </c>
      <c r="D196" s="42"/>
      <c r="E196" s="24"/>
      <c r="F196" s="64">
        <f t="shared" si="25"/>
      </c>
      <c r="G196" s="23">
        <v>3</v>
      </c>
      <c r="H196" s="30">
        <f t="shared" si="26"/>
        <v>0</v>
      </c>
      <c r="K196" s="5">
        <v>18</v>
      </c>
      <c r="L196" s="5">
        <f t="shared" si="27"/>
        <v>0</v>
      </c>
    </row>
    <row r="197" spans="1:12" ht="15" customHeight="1" hidden="1">
      <c r="A197" s="20"/>
      <c r="B197" s="43">
        <f>27-3-2-1-4-3-4-4-(1)-2-3</f>
        <v>0</v>
      </c>
      <c r="C197" s="42" t="s">
        <v>46</v>
      </c>
      <c r="D197" s="42"/>
      <c r="E197" s="24"/>
      <c r="F197" s="64">
        <f t="shared" si="25"/>
      </c>
      <c r="G197" s="23">
        <v>3</v>
      </c>
      <c r="H197" s="30">
        <f t="shared" si="26"/>
        <v>0</v>
      </c>
      <c r="K197" s="5">
        <v>18</v>
      </c>
      <c r="L197" s="5">
        <f t="shared" si="27"/>
        <v>0</v>
      </c>
    </row>
    <row r="198" spans="1:12" ht="15" customHeight="1">
      <c r="A198" s="20"/>
      <c r="B198" s="43">
        <f>2-2+23-1-8-2-2-(10)+72-1-4</f>
        <v>67</v>
      </c>
      <c r="C198" s="42" t="s">
        <v>142</v>
      </c>
      <c r="D198" s="71"/>
      <c r="E198" s="24"/>
      <c r="F198" s="64">
        <f t="shared" si="25"/>
      </c>
      <c r="G198" s="23">
        <v>2.5</v>
      </c>
      <c r="H198" s="30">
        <f>MIN(IF(E198="",0,E198),B198)*G198</f>
        <v>0</v>
      </c>
      <c r="K198" s="5">
        <v>18</v>
      </c>
      <c r="L198" s="5">
        <f t="shared" si="27"/>
        <v>0</v>
      </c>
    </row>
    <row r="199" spans="1:12" ht="15" customHeight="1" hidden="1">
      <c r="A199" s="20"/>
      <c r="B199" s="43">
        <v>0</v>
      </c>
      <c r="C199" s="42" t="s">
        <v>213</v>
      </c>
      <c r="D199" s="20"/>
      <c r="E199" s="24"/>
      <c r="F199" s="64">
        <f t="shared" si="25"/>
      </c>
      <c r="G199" s="23">
        <v>3.5</v>
      </c>
      <c r="H199" s="30">
        <f>MIN(IF(E199="",0,E199),B199)*G199</f>
        <v>0</v>
      </c>
      <c r="K199" s="5">
        <v>18</v>
      </c>
      <c r="L199" s="5">
        <f t="shared" si="27"/>
        <v>0</v>
      </c>
    </row>
    <row r="200" spans="1:12" ht="15" customHeight="1">
      <c r="A200" s="20"/>
      <c r="B200" s="43">
        <f>4-1</f>
        <v>3</v>
      </c>
      <c r="C200" s="42" t="s">
        <v>36</v>
      </c>
      <c r="D200" s="20"/>
      <c r="E200" s="24"/>
      <c r="F200" s="64">
        <f>IF(E200&gt;B200,"?","")</f>
      </c>
      <c r="G200" s="23">
        <v>5</v>
      </c>
      <c r="H200" s="30">
        <f>MIN(IF(E200="",0,E200),B200)*G200</f>
        <v>0</v>
      </c>
      <c r="K200" s="5">
        <v>18</v>
      </c>
      <c r="L200" s="5">
        <f>E200/K200</f>
        <v>0</v>
      </c>
    </row>
    <row r="201" spans="1:12" ht="15" customHeight="1">
      <c r="A201" s="20"/>
      <c r="B201" s="43">
        <v>4</v>
      </c>
      <c r="C201" s="41" t="s">
        <v>126</v>
      </c>
      <c r="D201" s="20"/>
      <c r="E201" s="24"/>
      <c r="F201" s="64">
        <f t="shared" si="25"/>
      </c>
      <c r="G201" s="23">
        <v>5</v>
      </c>
      <c r="H201" s="30">
        <f t="shared" si="26"/>
        <v>0</v>
      </c>
      <c r="K201" s="5">
        <v>18</v>
      </c>
      <c r="L201" s="5">
        <f t="shared" si="27"/>
        <v>0</v>
      </c>
    </row>
    <row r="202" spans="1:8" ht="15" customHeight="1">
      <c r="A202" s="20"/>
      <c r="B202" s="45" t="s">
        <v>47</v>
      </c>
      <c r="C202" s="42"/>
      <c r="D202" s="20"/>
      <c r="E202" s="48"/>
      <c r="F202" s="64">
        <f t="shared" si="25"/>
      </c>
      <c r="G202" s="23"/>
      <c r="H202" s="38"/>
    </row>
    <row r="203" spans="1:12" ht="15" customHeight="1" hidden="1">
      <c r="A203" s="20"/>
      <c r="B203" s="43">
        <v>0</v>
      </c>
      <c r="C203" s="42" t="s">
        <v>48</v>
      </c>
      <c r="D203" s="42" t="s">
        <v>93</v>
      </c>
      <c r="E203" s="54"/>
      <c r="F203" s="64">
        <f t="shared" si="25"/>
      </c>
      <c r="G203" s="23">
        <v>5</v>
      </c>
      <c r="H203" s="30">
        <f>E203*G203</f>
        <v>0</v>
      </c>
      <c r="K203" s="5">
        <v>18</v>
      </c>
      <c r="L203" s="5">
        <f t="shared" si="27"/>
        <v>0</v>
      </c>
    </row>
    <row r="204" spans="1:12" ht="15" customHeight="1" hidden="1">
      <c r="A204" s="20"/>
      <c r="B204" s="43">
        <v>0</v>
      </c>
      <c r="C204" s="42" t="s">
        <v>48</v>
      </c>
      <c r="D204" s="42" t="s">
        <v>98</v>
      </c>
      <c r="E204" s="54"/>
      <c r="F204" s="64">
        <f t="shared" si="25"/>
      </c>
      <c r="G204" s="23">
        <v>1.5</v>
      </c>
      <c r="H204" s="30">
        <f>E204*G204</f>
        <v>0</v>
      </c>
      <c r="K204" s="5">
        <v>18</v>
      </c>
      <c r="L204" s="5">
        <f t="shared" si="27"/>
        <v>0</v>
      </c>
    </row>
    <row r="205" spans="1:12" ht="15" customHeight="1" hidden="1">
      <c r="A205" s="20"/>
      <c r="B205" s="43">
        <v>0</v>
      </c>
      <c r="C205" s="42" t="s">
        <v>48</v>
      </c>
      <c r="D205" s="42" t="s">
        <v>246</v>
      </c>
      <c r="E205" s="24"/>
      <c r="F205" s="64">
        <f t="shared" si="25"/>
      </c>
      <c r="G205" s="23">
        <v>2.5</v>
      </c>
      <c r="H205" s="30">
        <f>E205*G205</f>
        <v>0</v>
      </c>
      <c r="K205" s="5">
        <v>18</v>
      </c>
      <c r="L205" s="5">
        <f t="shared" si="27"/>
        <v>0</v>
      </c>
    </row>
    <row r="206" spans="1:12" ht="15" customHeight="1" hidden="1">
      <c r="A206" s="20"/>
      <c r="B206" s="43">
        <f>12-1-1-1-(2)-1-1-1-1-2-1</f>
        <v>0</v>
      </c>
      <c r="C206" s="42" t="s">
        <v>48</v>
      </c>
      <c r="D206" s="42" t="s">
        <v>245</v>
      </c>
      <c r="E206" s="24"/>
      <c r="F206" s="64">
        <f>IF(E206&gt;B206,"?","")</f>
      </c>
      <c r="G206" s="23">
        <v>3</v>
      </c>
      <c r="H206" s="30">
        <f>E206*G206</f>
        <v>0</v>
      </c>
      <c r="K206" s="5">
        <v>18</v>
      </c>
      <c r="L206" s="5">
        <f>E206/K206</f>
        <v>0</v>
      </c>
    </row>
    <row r="207" spans="1:12" ht="15" customHeight="1">
      <c r="A207" s="20"/>
      <c r="B207" s="43">
        <f>7-1-3+14-1-3-1-1+22-1-2-1-2-1-1-(3)-5-2-1</f>
        <v>14</v>
      </c>
      <c r="C207" s="42" t="s">
        <v>74</v>
      </c>
      <c r="D207" s="20"/>
      <c r="E207" s="24"/>
      <c r="F207" s="64">
        <f t="shared" si="25"/>
      </c>
      <c r="G207" s="23">
        <v>3</v>
      </c>
      <c r="H207" s="30">
        <f aca="true" t="shared" si="28" ref="H207:H212">MIN(IF(E207="",0,E207),B207)*G207</f>
        <v>0</v>
      </c>
      <c r="K207" s="5">
        <v>18</v>
      </c>
      <c r="L207" s="5">
        <f t="shared" si="27"/>
        <v>0</v>
      </c>
    </row>
    <row r="208" spans="1:12" ht="15" customHeight="1">
      <c r="A208" s="20"/>
      <c r="B208" s="43">
        <f>13-4-2-1-1-3-2+21-4-1+14-2-1-1-3-1+18-2-2-1-4-2-2-1-1+12+4-1-3+(2)-4-2-1-1-1</f>
        <v>30</v>
      </c>
      <c r="C208" s="42" t="s">
        <v>75</v>
      </c>
      <c r="D208" s="20"/>
      <c r="E208" s="24"/>
      <c r="F208" s="64">
        <f t="shared" si="25"/>
      </c>
      <c r="G208" s="23">
        <v>3</v>
      </c>
      <c r="H208" s="30">
        <f t="shared" si="28"/>
        <v>0</v>
      </c>
      <c r="K208" s="5">
        <v>18</v>
      </c>
      <c r="L208" s="5">
        <f t="shared" si="27"/>
        <v>0</v>
      </c>
    </row>
    <row r="209" spans="1:12" ht="15" customHeight="1">
      <c r="A209" s="20"/>
      <c r="B209" s="43">
        <f>9-1-1-(1)-3-1-2+21-1-1-2-1-1+15-1-1-6-4-4-(7)+34-5-1</f>
        <v>35</v>
      </c>
      <c r="C209" s="42" t="s">
        <v>69</v>
      </c>
      <c r="D209" s="20"/>
      <c r="E209" s="24"/>
      <c r="F209" s="64">
        <f t="shared" si="25"/>
      </c>
      <c r="G209" s="23">
        <v>3</v>
      </c>
      <c r="H209" s="30">
        <f t="shared" si="28"/>
        <v>0</v>
      </c>
      <c r="K209" s="5">
        <v>18</v>
      </c>
      <c r="L209" s="5">
        <f t="shared" si="27"/>
        <v>0</v>
      </c>
    </row>
    <row r="210" spans="1:12" ht="15" customHeight="1">
      <c r="A210" s="20"/>
      <c r="B210" s="43">
        <f>3-1-2+30-1-1-1-2-1-2-1-1-2-17+22-5-1-1</f>
        <v>16</v>
      </c>
      <c r="C210" s="42" t="s">
        <v>71</v>
      </c>
      <c r="D210" s="42"/>
      <c r="E210" s="24"/>
      <c r="F210" s="64">
        <f t="shared" si="25"/>
      </c>
      <c r="G210" s="23">
        <v>3</v>
      </c>
      <c r="H210" s="30">
        <f t="shared" si="28"/>
        <v>0</v>
      </c>
      <c r="K210" s="5">
        <v>18</v>
      </c>
      <c r="L210" s="5">
        <f t="shared" si="27"/>
        <v>0</v>
      </c>
    </row>
    <row r="211" spans="1:12" ht="15" customHeight="1">
      <c r="A211" s="20"/>
      <c r="B211" s="43">
        <f>13-1-3-2+18-1-2-2-1-1-2+12-1-2-1-1-5-4-(5)+37-1</f>
        <v>45</v>
      </c>
      <c r="C211" s="42" t="s">
        <v>73</v>
      </c>
      <c r="D211" s="42"/>
      <c r="E211" s="24"/>
      <c r="F211" s="64">
        <f t="shared" si="25"/>
      </c>
      <c r="G211" s="23">
        <v>3</v>
      </c>
      <c r="H211" s="30">
        <f t="shared" si="28"/>
        <v>0</v>
      </c>
      <c r="K211" s="5">
        <v>18</v>
      </c>
      <c r="L211" s="5">
        <f t="shared" si="27"/>
        <v>0</v>
      </c>
    </row>
    <row r="212" spans="1:12" ht="15" customHeight="1" hidden="1">
      <c r="A212" s="20"/>
      <c r="B212" s="43">
        <f>9-1-1-4-1-1-1</f>
        <v>0</v>
      </c>
      <c r="C212" s="42" t="s">
        <v>76</v>
      </c>
      <c r="D212" s="42"/>
      <c r="E212" s="22"/>
      <c r="F212" s="64">
        <f t="shared" si="25"/>
      </c>
      <c r="G212" s="23">
        <v>3</v>
      </c>
      <c r="H212" s="30">
        <f t="shared" si="28"/>
        <v>0</v>
      </c>
      <c r="K212" s="5">
        <v>18</v>
      </c>
      <c r="L212" s="5">
        <f t="shared" si="27"/>
        <v>0</v>
      </c>
    </row>
    <row r="213" spans="1:8" ht="15" customHeight="1">
      <c r="A213" s="20"/>
      <c r="B213" s="45" t="s">
        <v>49</v>
      </c>
      <c r="C213" s="42"/>
      <c r="D213" s="20"/>
      <c r="E213" s="44"/>
      <c r="F213" s="64">
        <f t="shared" si="25"/>
      </c>
      <c r="G213" s="23"/>
      <c r="H213" s="49"/>
    </row>
    <row r="214" spans="1:12" ht="15" customHeight="1">
      <c r="A214" s="20"/>
      <c r="B214" s="43">
        <f>35-4-1-1-1-4-1-3-4-3-1-3-4-(2)-3+60-1-2-1+6-3-1-2-2-1-5-1-1-2-2-1-4-1</f>
        <v>36</v>
      </c>
      <c r="C214" s="42" t="s">
        <v>104</v>
      </c>
      <c r="D214" s="41"/>
      <c r="E214" s="24"/>
      <c r="F214" s="64">
        <f aca="true" t="shared" si="29" ref="F214:F220">IF(E214&gt;B214,"?","")</f>
      </c>
      <c r="G214" s="23">
        <v>4</v>
      </c>
      <c r="H214" s="30">
        <f aca="true" t="shared" si="30" ref="H214:H278">MIN(IF(E214="",0,E214),B214)*G214</f>
        <v>0</v>
      </c>
      <c r="K214" s="5">
        <v>18</v>
      </c>
      <c r="L214" s="5">
        <f t="shared" si="27"/>
        <v>0</v>
      </c>
    </row>
    <row r="215" spans="1:12" ht="15" customHeight="1">
      <c r="A215" s="20"/>
      <c r="B215" s="43">
        <f>56</f>
        <v>56</v>
      </c>
      <c r="C215" s="42" t="s">
        <v>355</v>
      </c>
      <c r="D215" s="20"/>
      <c r="E215" s="24"/>
      <c r="F215" s="64">
        <f>IF(E215&gt;B215,"?","")</f>
      </c>
      <c r="G215" s="23">
        <v>3.5</v>
      </c>
      <c r="H215" s="30">
        <f>MIN(IF(E215="",0,E215),B215)*G215</f>
        <v>0</v>
      </c>
      <c r="K215" s="5">
        <v>18</v>
      </c>
      <c r="L215" s="5">
        <f>E215/K215</f>
        <v>0</v>
      </c>
    </row>
    <row r="216" spans="1:12" ht="15" customHeight="1" hidden="1">
      <c r="A216" s="20"/>
      <c r="B216" s="43">
        <f>1-1</f>
        <v>0</v>
      </c>
      <c r="C216" s="42" t="s">
        <v>348</v>
      </c>
      <c r="D216" s="20"/>
      <c r="E216" s="24"/>
      <c r="F216" s="64">
        <f t="shared" si="29"/>
      </c>
      <c r="G216" s="23">
        <v>3</v>
      </c>
      <c r="H216" s="30">
        <f>MIN(IF(E216="",0,E216),B216)*G216</f>
        <v>0</v>
      </c>
      <c r="K216" s="5">
        <v>18</v>
      </c>
      <c r="L216" s="5">
        <f>E216/K216</f>
        <v>0</v>
      </c>
    </row>
    <row r="217" spans="1:12" ht="15" customHeight="1">
      <c r="A217" s="20"/>
      <c r="B217" s="43">
        <f>10-1-3-1-3+2-3</f>
        <v>1</v>
      </c>
      <c r="C217" s="42" t="s">
        <v>204</v>
      </c>
      <c r="D217" s="41"/>
      <c r="E217" s="24"/>
      <c r="F217" s="64">
        <f t="shared" si="29"/>
      </c>
      <c r="G217" s="23">
        <v>5</v>
      </c>
      <c r="H217" s="30">
        <f>MIN(IF(E217="",0,E217),B217)*G217</f>
        <v>0</v>
      </c>
      <c r="K217" s="5">
        <v>18</v>
      </c>
      <c r="L217" s="5">
        <f t="shared" si="27"/>
        <v>0</v>
      </c>
    </row>
    <row r="218" spans="1:12" ht="15" customHeight="1" hidden="1">
      <c r="A218" s="20"/>
      <c r="B218" s="43">
        <f>6-6</f>
        <v>0</v>
      </c>
      <c r="C218" s="42" t="s">
        <v>340</v>
      </c>
      <c r="D218" s="41"/>
      <c r="E218" s="24"/>
      <c r="F218" s="64">
        <f t="shared" si="29"/>
      </c>
      <c r="G218" s="23">
        <v>5</v>
      </c>
      <c r="H218" s="30">
        <f>MIN(IF(E218="",0,E218),B218)*G218</f>
        <v>0</v>
      </c>
      <c r="K218" s="5">
        <v>18</v>
      </c>
      <c r="L218" s="5">
        <f>E218/K218</f>
        <v>0</v>
      </c>
    </row>
    <row r="219" spans="1:12" ht="15" customHeight="1">
      <c r="A219" s="20"/>
      <c r="B219" s="43">
        <f>28-5-4</f>
        <v>19</v>
      </c>
      <c r="C219" s="42" t="s">
        <v>313</v>
      </c>
      <c r="D219" s="20"/>
      <c r="E219" s="24"/>
      <c r="F219" s="64">
        <f t="shared" si="29"/>
      </c>
      <c r="G219" s="23">
        <v>3</v>
      </c>
      <c r="H219" s="30">
        <f>MIN(IF(E219="",0,E219),B219)*G219</f>
        <v>0</v>
      </c>
      <c r="K219" s="5">
        <v>18</v>
      </c>
      <c r="L219" s="5">
        <f>E219/K219</f>
        <v>0</v>
      </c>
    </row>
    <row r="220" spans="1:12" ht="15" customHeight="1" hidden="1">
      <c r="A220" s="20"/>
      <c r="B220" s="43">
        <f>9-1-(2)-2-4</f>
        <v>0</v>
      </c>
      <c r="C220" s="42" t="s">
        <v>90</v>
      </c>
      <c r="D220" s="20"/>
      <c r="E220" s="24"/>
      <c r="F220" s="64">
        <f t="shared" si="29"/>
      </c>
      <c r="G220" s="23">
        <v>3</v>
      </c>
      <c r="H220" s="30">
        <f t="shared" si="30"/>
        <v>0</v>
      </c>
      <c r="K220" s="5">
        <v>18</v>
      </c>
      <c r="L220" s="5">
        <f t="shared" si="27"/>
        <v>0</v>
      </c>
    </row>
    <row r="221" spans="1:12" ht="15" customHeight="1">
      <c r="A221" s="20"/>
      <c r="B221" s="43">
        <f>3-2-1+62-2-2-2-2</f>
        <v>54</v>
      </c>
      <c r="C221" s="42" t="s">
        <v>356</v>
      </c>
      <c r="D221" s="20"/>
      <c r="E221" s="24"/>
      <c r="F221" s="64">
        <f aca="true" t="shared" si="31" ref="F221:F240">IF(E221&gt;B221,"?","")</f>
      </c>
      <c r="G221" s="23">
        <v>3</v>
      </c>
      <c r="H221" s="30">
        <f t="shared" si="30"/>
        <v>0</v>
      </c>
      <c r="K221" s="5">
        <v>18</v>
      </c>
      <c r="L221" s="5">
        <f t="shared" si="27"/>
        <v>0</v>
      </c>
    </row>
    <row r="222" spans="1:12" ht="15" customHeight="1">
      <c r="A222" s="20"/>
      <c r="B222" s="43">
        <f>10-3</f>
        <v>7</v>
      </c>
      <c r="C222" s="42" t="s">
        <v>78</v>
      </c>
      <c r="D222" s="20"/>
      <c r="E222" s="24"/>
      <c r="F222" s="64">
        <f t="shared" si="31"/>
      </c>
      <c r="G222" s="23">
        <v>4</v>
      </c>
      <c r="H222" s="30">
        <f t="shared" si="30"/>
        <v>0</v>
      </c>
      <c r="K222" s="5">
        <v>18</v>
      </c>
      <c r="L222" s="5">
        <f t="shared" si="27"/>
        <v>0</v>
      </c>
    </row>
    <row r="223" spans="1:12" ht="15" customHeight="1">
      <c r="A223" s="20"/>
      <c r="B223" s="43">
        <f>14-1-1-5-6-1+7-2+25-3-1-26+33-2-1-1-1-6-4-5+(2)-3-4-1+24-1-2-1-2-1</f>
        <v>24</v>
      </c>
      <c r="C223" s="42" t="s">
        <v>77</v>
      </c>
      <c r="D223" s="20"/>
      <c r="E223" s="24"/>
      <c r="F223" s="64">
        <f t="shared" si="31"/>
      </c>
      <c r="G223" s="23">
        <v>2.5</v>
      </c>
      <c r="H223" s="30">
        <f t="shared" si="30"/>
        <v>0</v>
      </c>
      <c r="K223" s="5">
        <v>18</v>
      </c>
      <c r="L223" s="5">
        <f t="shared" si="27"/>
        <v>0</v>
      </c>
    </row>
    <row r="224" spans="1:12" ht="15" customHeight="1">
      <c r="A224" s="20"/>
      <c r="B224" s="43">
        <f>4-3-1+33-4-1-4-2-1</f>
        <v>21</v>
      </c>
      <c r="C224" s="42" t="s">
        <v>318</v>
      </c>
      <c r="D224" s="20"/>
      <c r="E224" s="24"/>
      <c r="F224" s="64">
        <f>IF(E224&gt;B224,"?","")</f>
      </c>
      <c r="G224" s="23">
        <v>2.5</v>
      </c>
      <c r="H224" s="30">
        <f>MIN(IF(E224="",0,E224),B224)*G224</f>
        <v>0</v>
      </c>
      <c r="K224" s="5">
        <v>18</v>
      </c>
      <c r="L224" s="5">
        <f>E224/K224</f>
        <v>0</v>
      </c>
    </row>
    <row r="225" spans="1:12" ht="15" customHeight="1">
      <c r="A225" s="20"/>
      <c r="B225" s="43" t="s">
        <v>31</v>
      </c>
      <c r="C225" s="42" t="s">
        <v>50</v>
      </c>
      <c r="D225" s="20"/>
      <c r="E225" s="24"/>
      <c r="F225" s="64">
        <f t="shared" si="31"/>
      </c>
      <c r="G225" s="23">
        <v>2.5</v>
      </c>
      <c r="H225" s="30">
        <f t="shared" si="30"/>
        <v>0</v>
      </c>
      <c r="K225" s="5">
        <v>18</v>
      </c>
      <c r="L225" s="5">
        <f t="shared" si="27"/>
        <v>0</v>
      </c>
    </row>
    <row r="226" spans="1:12" ht="15" customHeight="1">
      <c r="A226" s="20"/>
      <c r="B226" s="43">
        <f>9-1-1-(2)-6+1+25-(9)-3-2-2-9+30-4-9-1-1-2-1-1-5-(3)-1+22*0+21</f>
        <v>23</v>
      </c>
      <c r="C226" s="42" t="s">
        <v>205</v>
      </c>
      <c r="D226" s="20"/>
      <c r="E226" s="24"/>
      <c r="F226" s="64">
        <f t="shared" si="31"/>
      </c>
      <c r="G226" s="23">
        <v>3</v>
      </c>
      <c r="H226" s="30">
        <f t="shared" si="30"/>
        <v>0</v>
      </c>
      <c r="K226" s="5">
        <v>18</v>
      </c>
      <c r="L226" s="5">
        <f t="shared" si="27"/>
        <v>0</v>
      </c>
    </row>
    <row r="227" spans="1:12" ht="15" customHeight="1" hidden="1">
      <c r="A227" s="20"/>
      <c r="B227" s="43">
        <v>5</v>
      </c>
      <c r="C227" s="42" t="s">
        <v>122</v>
      </c>
      <c r="D227" s="41"/>
      <c r="E227" s="24"/>
      <c r="F227" s="64">
        <f>IF(E227&gt;B227,"?","")</f>
      </c>
      <c r="G227" s="23">
        <v>3</v>
      </c>
      <c r="H227" s="30">
        <f>MIN(IF(E227="",0,E227),B227)*G227</f>
        <v>0</v>
      </c>
      <c r="K227" s="5">
        <v>18</v>
      </c>
      <c r="L227" s="5">
        <f>E227/K227</f>
        <v>0</v>
      </c>
    </row>
    <row r="228" spans="1:12" ht="15" customHeight="1" hidden="1">
      <c r="A228" s="20"/>
      <c r="B228" s="43">
        <f>3-2-1</f>
        <v>0</v>
      </c>
      <c r="C228" s="5" t="s">
        <v>314</v>
      </c>
      <c r="D228" s="41"/>
      <c r="E228" s="24"/>
      <c r="F228" s="64">
        <f t="shared" si="31"/>
      </c>
      <c r="G228" s="23">
        <v>3</v>
      </c>
      <c r="H228" s="30">
        <f t="shared" si="30"/>
        <v>0</v>
      </c>
      <c r="K228" s="5">
        <v>18</v>
      </c>
      <c r="L228" s="5">
        <f t="shared" si="27"/>
        <v>0</v>
      </c>
    </row>
    <row r="229" spans="1:12" ht="15" customHeight="1" hidden="1">
      <c r="A229" s="20"/>
      <c r="B229" s="43">
        <f>5-5</f>
        <v>0</v>
      </c>
      <c r="C229" s="42" t="s">
        <v>352</v>
      </c>
      <c r="D229" s="41"/>
      <c r="E229" s="24"/>
      <c r="F229" s="64">
        <f>IF(E229&gt;B229,"?","")</f>
      </c>
      <c r="G229" s="23">
        <v>3</v>
      </c>
      <c r="H229" s="30">
        <f>MIN(IF(E229="",0,E229),B229)*G229</f>
        <v>0</v>
      </c>
      <c r="K229" s="5">
        <v>18</v>
      </c>
      <c r="L229" s="5">
        <f>E229/K229</f>
        <v>0</v>
      </c>
    </row>
    <row r="230" spans="1:12" ht="14.25" customHeight="1">
      <c r="A230" s="20"/>
      <c r="B230" s="43">
        <f>53-9-2-3-3</f>
        <v>36</v>
      </c>
      <c r="C230" s="42" t="s">
        <v>152</v>
      </c>
      <c r="D230" s="42"/>
      <c r="E230" s="24"/>
      <c r="F230" s="64">
        <f t="shared" si="31"/>
      </c>
      <c r="G230" s="23">
        <v>5</v>
      </c>
      <c r="H230" s="30">
        <f t="shared" si="30"/>
        <v>0</v>
      </c>
      <c r="K230" s="5">
        <v>18</v>
      </c>
      <c r="L230" s="5">
        <f t="shared" si="27"/>
        <v>0</v>
      </c>
    </row>
    <row r="231" spans="1:12" ht="14.25" customHeight="1">
      <c r="A231" s="20"/>
      <c r="B231" s="43">
        <f>13-2-3-1</f>
        <v>7</v>
      </c>
      <c r="C231" s="42" t="s">
        <v>92</v>
      </c>
      <c r="D231" s="42"/>
      <c r="E231" s="24"/>
      <c r="F231" s="64">
        <f t="shared" si="31"/>
      </c>
      <c r="G231" s="23">
        <v>5</v>
      </c>
      <c r="H231" s="30">
        <f t="shared" si="30"/>
        <v>0</v>
      </c>
      <c r="K231" s="5">
        <v>18</v>
      </c>
      <c r="L231" s="5">
        <f t="shared" si="27"/>
        <v>0</v>
      </c>
    </row>
    <row r="232" spans="1:12" ht="15" customHeight="1">
      <c r="A232" s="20"/>
      <c r="B232" s="43" t="s">
        <v>31</v>
      </c>
      <c r="C232" s="42" t="s">
        <v>83</v>
      </c>
      <c r="D232" s="42"/>
      <c r="E232" s="24"/>
      <c r="F232" s="64">
        <f t="shared" si="31"/>
      </c>
      <c r="G232" s="23">
        <v>3</v>
      </c>
      <c r="H232" s="30">
        <f t="shared" si="30"/>
        <v>0</v>
      </c>
      <c r="K232" s="5">
        <v>18</v>
      </c>
      <c r="L232" s="5">
        <f t="shared" si="27"/>
        <v>0</v>
      </c>
    </row>
    <row r="233" spans="1:12" ht="14.25" customHeight="1">
      <c r="A233" s="20"/>
      <c r="B233" s="43">
        <f>27-4-1-1-2-(3)-1-10+38-1-4-1-3-1-6-2-10+8-1-1-2-1-12+42-3-3-8-2-4-2-4-1-2-1-1</f>
        <v>17</v>
      </c>
      <c r="C233" s="42" t="s">
        <v>84</v>
      </c>
      <c r="D233" s="20"/>
      <c r="E233" s="24"/>
      <c r="F233" s="64">
        <f t="shared" si="31"/>
      </c>
      <c r="G233" s="23">
        <v>3</v>
      </c>
      <c r="H233" s="30">
        <f t="shared" si="30"/>
        <v>0</v>
      </c>
      <c r="K233" s="5">
        <v>18</v>
      </c>
      <c r="L233" s="5">
        <f t="shared" si="27"/>
        <v>0</v>
      </c>
    </row>
    <row r="234" spans="1:12" ht="15" customHeight="1">
      <c r="A234" s="20"/>
      <c r="B234" s="43" t="s">
        <v>31</v>
      </c>
      <c r="C234" s="42" t="s">
        <v>58</v>
      </c>
      <c r="D234" s="20"/>
      <c r="E234" s="24"/>
      <c r="F234" s="64">
        <f>IF(E234&gt;B234,"?","")</f>
      </c>
      <c r="G234" s="23">
        <v>2</v>
      </c>
      <c r="H234" s="30">
        <f>MIN(IF(E234="",0,E234),B234)*G234</f>
        <v>0</v>
      </c>
      <c r="K234" s="5">
        <v>18</v>
      </c>
      <c r="L234" s="5">
        <f>E234/K234</f>
        <v>0</v>
      </c>
    </row>
    <row r="235" spans="1:12" ht="15" customHeight="1">
      <c r="A235" s="20"/>
      <c r="B235" s="43">
        <v>5</v>
      </c>
      <c r="C235" s="42" t="s">
        <v>319</v>
      </c>
      <c r="D235" s="20"/>
      <c r="E235" s="24"/>
      <c r="F235" s="64">
        <f>IF(E235&gt;B235,"?","")</f>
      </c>
      <c r="G235" s="23">
        <v>2</v>
      </c>
      <c r="H235" s="30">
        <f>MIN(IF(E235="",0,E235),B235)*G235</f>
        <v>0</v>
      </c>
      <c r="K235" s="5">
        <v>18</v>
      </c>
      <c r="L235" s="5">
        <f>E235/K235</f>
        <v>0</v>
      </c>
    </row>
    <row r="236" spans="1:12" ht="15" customHeight="1" hidden="1">
      <c r="A236" s="20"/>
      <c r="B236" s="43">
        <f>7-(1)-2-(2)-2</f>
        <v>0</v>
      </c>
      <c r="C236" s="42" t="s">
        <v>51</v>
      </c>
      <c r="D236" s="42"/>
      <c r="E236" s="24"/>
      <c r="F236" s="64">
        <f t="shared" si="31"/>
      </c>
      <c r="G236" s="23">
        <v>5</v>
      </c>
      <c r="H236" s="30">
        <f t="shared" si="30"/>
        <v>0</v>
      </c>
      <c r="K236" s="5">
        <v>18</v>
      </c>
      <c r="L236" s="5">
        <f t="shared" si="27"/>
        <v>0</v>
      </c>
    </row>
    <row r="237" spans="1:12" ht="15" customHeight="1">
      <c r="A237" s="20"/>
      <c r="B237" s="43">
        <f>14-5</f>
        <v>9</v>
      </c>
      <c r="C237" s="42" t="s">
        <v>269</v>
      </c>
      <c r="D237" s="42"/>
      <c r="E237" s="24"/>
      <c r="F237" s="64">
        <f t="shared" si="31"/>
      </c>
      <c r="G237" s="23">
        <v>3.5</v>
      </c>
      <c r="H237" s="30">
        <f t="shared" si="30"/>
        <v>0</v>
      </c>
      <c r="K237" s="5">
        <v>18</v>
      </c>
      <c r="L237" s="5">
        <f>E237/K237</f>
        <v>0</v>
      </c>
    </row>
    <row r="238" spans="1:12" ht="15" customHeight="1">
      <c r="A238" s="20"/>
      <c r="B238" s="43">
        <f>25-1-1-4-1-5-5-2-2-(3)-1+25-5-2-1</f>
        <v>17</v>
      </c>
      <c r="C238" s="42" t="s">
        <v>360</v>
      </c>
      <c r="D238" s="42"/>
      <c r="E238" s="24"/>
      <c r="F238" s="64">
        <f t="shared" si="31"/>
      </c>
      <c r="G238" s="23">
        <v>3</v>
      </c>
      <c r="H238" s="30">
        <f t="shared" si="30"/>
        <v>0</v>
      </c>
      <c r="K238" s="5">
        <v>18</v>
      </c>
      <c r="L238" s="5">
        <f aca="true" t="shared" si="32" ref="L238:L263">E238/K238</f>
        <v>0</v>
      </c>
    </row>
    <row r="239" spans="1:12" ht="15" customHeight="1">
      <c r="A239" s="20"/>
      <c r="B239" s="43">
        <f>8</f>
        <v>8</v>
      </c>
      <c r="C239" s="42" t="s">
        <v>361</v>
      </c>
      <c r="D239" s="42"/>
      <c r="E239" s="24"/>
      <c r="F239" s="64">
        <f t="shared" si="31"/>
      </c>
      <c r="G239" s="23">
        <v>3</v>
      </c>
      <c r="H239" s="30">
        <f t="shared" si="30"/>
        <v>0</v>
      </c>
      <c r="K239" s="5">
        <v>18</v>
      </c>
      <c r="L239" s="5">
        <f t="shared" si="32"/>
        <v>0</v>
      </c>
    </row>
    <row r="240" spans="1:12" ht="15" customHeight="1" hidden="1">
      <c r="A240" s="20"/>
      <c r="B240" s="43">
        <f>2-2</f>
        <v>0</v>
      </c>
      <c r="C240" s="42" t="s">
        <v>203</v>
      </c>
      <c r="D240" s="42"/>
      <c r="E240" s="24"/>
      <c r="F240" s="64">
        <f t="shared" si="31"/>
      </c>
      <c r="G240" s="23">
        <v>3</v>
      </c>
      <c r="H240" s="30">
        <f t="shared" si="30"/>
        <v>0</v>
      </c>
      <c r="K240" s="5">
        <v>18</v>
      </c>
      <c r="L240" s="5">
        <f t="shared" si="32"/>
        <v>0</v>
      </c>
    </row>
    <row r="241" spans="1:12" ht="15" customHeight="1" hidden="1">
      <c r="A241" s="20"/>
      <c r="B241" s="43">
        <v>0</v>
      </c>
      <c r="C241" s="42" t="s">
        <v>64</v>
      </c>
      <c r="D241" s="20"/>
      <c r="E241" s="24"/>
      <c r="F241" s="64">
        <f aca="true" t="shared" si="33" ref="F241:F257">IF(E241&gt;B241,"?","")</f>
      </c>
      <c r="G241" s="23">
        <v>2.5</v>
      </c>
      <c r="H241" s="30">
        <f t="shared" si="30"/>
        <v>0</v>
      </c>
      <c r="K241" s="5">
        <v>18</v>
      </c>
      <c r="L241" s="5">
        <f t="shared" si="32"/>
        <v>0</v>
      </c>
    </row>
    <row r="242" spans="1:12" ht="15" customHeight="1">
      <c r="A242" s="20"/>
      <c r="B242" s="43">
        <v>1</v>
      </c>
      <c r="C242" s="42" t="s">
        <v>169</v>
      </c>
      <c r="D242" s="20"/>
      <c r="E242" s="24"/>
      <c r="F242" s="64">
        <f t="shared" si="33"/>
      </c>
      <c r="G242" s="23">
        <v>2.5</v>
      </c>
      <c r="H242" s="30">
        <f t="shared" si="30"/>
        <v>0</v>
      </c>
      <c r="K242" s="5">
        <v>18</v>
      </c>
      <c r="L242" s="5">
        <f t="shared" si="32"/>
        <v>0</v>
      </c>
    </row>
    <row r="243" spans="1:12" ht="15" customHeight="1">
      <c r="A243" s="20"/>
      <c r="B243" s="43">
        <v>4</v>
      </c>
      <c r="C243" s="42" t="s">
        <v>168</v>
      </c>
      <c r="D243" s="20"/>
      <c r="E243" s="24"/>
      <c r="F243" s="64">
        <f t="shared" si="33"/>
      </c>
      <c r="G243" s="23">
        <v>5</v>
      </c>
      <c r="H243" s="30">
        <f t="shared" si="30"/>
        <v>0</v>
      </c>
      <c r="K243" s="5">
        <v>18</v>
      </c>
      <c r="L243" s="5">
        <f t="shared" si="32"/>
        <v>0</v>
      </c>
    </row>
    <row r="244" spans="1:12" ht="15" customHeight="1">
      <c r="A244" s="20"/>
      <c r="B244" s="43" t="s">
        <v>31</v>
      </c>
      <c r="C244" s="42" t="s">
        <v>57</v>
      </c>
      <c r="D244" s="20"/>
      <c r="E244" s="24"/>
      <c r="F244" s="64">
        <f t="shared" si="33"/>
      </c>
      <c r="G244" s="23">
        <v>2.5</v>
      </c>
      <c r="H244" s="30">
        <f t="shared" si="30"/>
        <v>0</v>
      </c>
      <c r="K244" s="5">
        <v>18</v>
      </c>
      <c r="L244" s="5">
        <f t="shared" si="32"/>
        <v>0</v>
      </c>
    </row>
    <row r="245" spans="1:12" ht="15" customHeight="1">
      <c r="A245" s="20"/>
      <c r="B245" s="43" t="s">
        <v>31</v>
      </c>
      <c r="C245" s="42" t="s">
        <v>358</v>
      </c>
      <c r="D245" s="20"/>
      <c r="E245" s="24"/>
      <c r="F245" s="64">
        <f t="shared" si="33"/>
      </c>
      <c r="G245" s="23">
        <v>2.5</v>
      </c>
      <c r="H245" s="30">
        <f t="shared" si="30"/>
        <v>0</v>
      </c>
      <c r="K245" s="5">
        <v>18</v>
      </c>
      <c r="L245" s="5">
        <f t="shared" si="32"/>
        <v>0</v>
      </c>
    </row>
    <row r="246" spans="1:12" ht="15" customHeight="1" hidden="1">
      <c r="A246" s="20"/>
      <c r="B246" s="43">
        <v>0</v>
      </c>
      <c r="C246" s="42" t="s">
        <v>65</v>
      </c>
      <c r="D246" s="20"/>
      <c r="E246" s="24"/>
      <c r="F246" s="64">
        <f t="shared" si="33"/>
      </c>
      <c r="G246" s="23">
        <v>3</v>
      </c>
      <c r="H246" s="30">
        <f t="shared" si="30"/>
        <v>0</v>
      </c>
      <c r="K246" s="5">
        <v>18</v>
      </c>
      <c r="L246" s="5">
        <f t="shared" si="32"/>
        <v>0</v>
      </c>
    </row>
    <row r="247" spans="1:12" ht="15" customHeight="1" hidden="1">
      <c r="A247" s="20"/>
      <c r="B247" s="43">
        <v>0</v>
      </c>
      <c r="C247" s="42" t="s">
        <v>161</v>
      </c>
      <c r="D247" s="20"/>
      <c r="E247" s="24"/>
      <c r="F247" s="64">
        <f t="shared" si="33"/>
      </c>
      <c r="G247" s="23">
        <v>3</v>
      </c>
      <c r="H247" s="30">
        <f t="shared" si="30"/>
        <v>0</v>
      </c>
      <c r="K247" s="5">
        <v>18</v>
      </c>
      <c r="L247" s="5">
        <f t="shared" si="32"/>
        <v>0</v>
      </c>
    </row>
    <row r="248" spans="1:12" ht="15" customHeight="1" hidden="1">
      <c r="A248" s="20"/>
      <c r="B248" s="43">
        <v>0</v>
      </c>
      <c r="C248" s="42" t="s">
        <v>162</v>
      </c>
      <c r="D248" s="20"/>
      <c r="E248" s="24"/>
      <c r="F248" s="64">
        <f t="shared" si="33"/>
      </c>
      <c r="G248" s="23">
        <v>3</v>
      </c>
      <c r="H248" s="30">
        <f t="shared" si="30"/>
        <v>0</v>
      </c>
      <c r="K248" s="5">
        <v>18</v>
      </c>
      <c r="L248" s="5">
        <f t="shared" si="32"/>
        <v>0</v>
      </c>
    </row>
    <row r="249" spans="1:12" ht="15" customHeight="1">
      <c r="A249" s="20"/>
      <c r="B249" s="43" t="s">
        <v>31</v>
      </c>
      <c r="C249" s="42" t="s">
        <v>166</v>
      </c>
      <c r="D249" s="20"/>
      <c r="E249" s="24"/>
      <c r="F249" s="64">
        <f t="shared" si="33"/>
      </c>
      <c r="G249" s="23">
        <v>3</v>
      </c>
      <c r="H249" s="30">
        <f t="shared" si="30"/>
        <v>0</v>
      </c>
      <c r="K249" s="5">
        <v>18</v>
      </c>
      <c r="L249" s="5">
        <f t="shared" si="32"/>
        <v>0</v>
      </c>
    </row>
    <row r="250" spans="1:12" ht="15" customHeight="1">
      <c r="A250" s="20"/>
      <c r="B250" s="43">
        <f>14-6</f>
        <v>8</v>
      </c>
      <c r="C250" s="42" t="s">
        <v>161</v>
      </c>
      <c r="D250" s="20"/>
      <c r="E250" s="24"/>
      <c r="F250" s="64">
        <f>IF(E250&gt;B250,"?","")</f>
      </c>
      <c r="G250" s="23">
        <v>3</v>
      </c>
      <c r="H250" s="30">
        <f>MIN(IF(E250="",0,E250),B250)*G250</f>
        <v>0</v>
      </c>
      <c r="K250" s="5">
        <v>18</v>
      </c>
      <c r="L250" s="5">
        <f>E250/K250</f>
        <v>0</v>
      </c>
    </row>
    <row r="251" spans="1:12" ht="15" customHeight="1">
      <c r="A251" s="20"/>
      <c r="B251" s="43">
        <f>27-1-5-2-1-3-1-3-2</f>
        <v>9</v>
      </c>
      <c r="C251" s="42" t="s">
        <v>236</v>
      </c>
      <c r="D251" s="20"/>
      <c r="E251" s="24"/>
      <c r="F251" s="64">
        <f t="shared" si="33"/>
      </c>
      <c r="G251" s="23">
        <v>3</v>
      </c>
      <c r="H251" s="30">
        <f t="shared" si="30"/>
        <v>0</v>
      </c>
      <c r="K251" s="5">
        <v>18</v>
      </c>
      <c r="L251" s="5">
        <f t="shared" si="32"/>
        <v>0</v>
      </c>
    </row>
    <row r="252" spans="1:12" ht="15" customHeight="1">
      <c r="A252" s="20"/>
      <c r="B252" s="43" t="s">
        <v>31</v>
      </c>
      <c r="C252" s="42" t="s">
        <v>128</v>
      </c>
      <c r="D252" s="20"/>
      <c r="E252" s="24"/>
      <c r="F252" s="64">
        <f t="shared" si="33"/>
      </c>
      <c r="G252" s="23">
        <v>3</v>
      </c>
      <c r="H252" s="30">
        <f t="shared" si="30"/>
        <v>0</v>
      </c>
      <c r="K252" s="5">
        <v>18</v>
      </c>
      <c r="L252" s="5">
        <f t="shared" si="32"/>
        <v>0</v>
      </c>
    </row>
    <row r="253" spans="1:12" ht="15" customHeight="1">
      <c r="A253" s="20"/>
      <c r="B253" s="43">
        <f>74</f>
        <v>74</v>
      </c>
      <c r="C253" s="42" t="s">
        <v>59</v>
      </c>
      <c r="D253" s="42" t="s">
        <v>129</v>
      </c>
      <c r="E253" s="24"/>
      <c r="F253" s="64">
        <f t="shared" si="33"/>
      </c>
      <c r="G253" s="23">
        <v>3</v>
      </c>
      <c r="H253" s="30">
        <f t="shared" si="30"/>
        <v>0</v>
      </c>
      <c r="K253" s="5">
        <v>18</v>
      </c>
      <c r="L253" s="5">
        <f t="shared" si="32"/>
        <v>0</v>
      </c>
    </row>
    <row r="254" spans="1:12" ht="15" customHeight="1">
      <c r="A254" s="20"/>
      <c r="B254" s="43" t="s">
        <v>31</v>
      </c>
      <c r="C254" s="42" t="s">
        <v>59</v>
      </c>
      <c r="D254" s="42" t="s">
        <v>130</v>
      </c>
      <c r="E254" s="24"/>
      <c r="F254" s="64">
        <f t="shared" si="33"/>
      </c>
      <c r="G254" s="23">
        <v>3</v>
      </c>
      <c r="H254" s="30">
        <f t="shared" si="30"/>
        <v>0</v>
      </c>
      <c r="K254" s="5">
        <v>18</v>
      </c>
      <c r="L254" s="5">
        <f t="shared" si="32"/>
        <v>0</v>
      </c>
    </row>
    <row r="255" spans="1:12" ht="15" customHeight="1">
      <c r="A255" s="20"/>
      <c r="B255" s="43" t="s">
        <v>31</v>
      </c>
      <c r="C255" s="42" t="s">
        <v>59</v>
      </c>
      <c r="D255" s="42" t="s">
        <v>221</v>
      </c>
      <c r="E255" s="24"/>
      <c r="F255" s="64">
        <f t="shared" si="33"/>
      </c>
      <c r="G255" s="23">
        <v>3</v>
      </c>
      <c r="H255" s="30">
        <f>MIN(IF(E255="",0,E255),B255)*G255</f>
        <v>0</v>
      </c>
      <c r="K255" s="5">
        <v>18</v>
      </c>
      <c r="L255" s="5">
        <f t="shared" si="32"/>
        <v>0</v>
      </c>
    </row>
    <row r="256" spans="1:12" ht="15" customHeight="1" hidden="1">
      <c r="A256" s="20"/>
      <c r="B256" s="43">
        <v>0</v>
      </c>
      <c r="C256" s="42" t="s">
        <v>59</v>
      </c>
      <c r="D256" s="42" t="s">
        <v>131</v>
      </c>
      <c r="E256" s="24"/>
      <c r="F256" s="64">
        <f t="shared" si="33"/>
      </c>
      <c r="G256" s="23">
        <v>3</v>
      </c>
      <c r="H256" s="30">
        <f t="shared" si="30"/>
        <v>0</v>
      </c>
      <c r="K256" s="5">
        <v>18</v>
      </c>
      <c r="L256" s="5">
        <f t="shared" si="32"/>
        <v>0</v>
      </c>
    </row>
    <row r="257" spans="1:12" ht="15" customHeight="1" hidden="1">
      <c r="A257" s="20"/>
      <c r="B257" s="43">
        <f>23-3-8-1-1-(4)-4-2</f>
        <v>0</v>
      </c>
      <c r="C257" s="42" t="s">
        <v>59</v>
      </c>
      <c r="D257" s="42" t="s">
        <v>66</v>
      </c>
      <c r="E257" s="24"/>
      <c r="F257" s="64">
        <f t="shared" si="33"/>
      </c>
      <c r="G257" s="23">
        <v>3</v>
      </c>
      <c r="H257" s="30">
        <f t="shared" si="30"/>
        <v>0</v>
      </c>
      <c r="K257" s="5">
        <v>18</v>
      </c>
      <c r="L257" s="5">
        <f t="shared" si="32"/>
        <v>0</v>
      </c>
    </row>
    <row r="258" spans="1:12" ht="15" customHeight="1" hidden="1">
      <c r="A258" s="20"/>
      <c r="B258" s="43">
        <f>5-5</f>
        <v>0</v>
      </c>
      <c r="C258" s="42" t="s">
        <v>89</v>
      </c>
      <c r="D258" s="20"/>
      <c r="E258" s="24"/>
      <c r="F258" s="64">
        <f aca="true" t="shared" si="34" ref="F258:F270">IF(E258&gt;B258,"?","")</f>
      </c>
      <c r="G258" s="23">
        <v>3</v>
      </c>
      <c r="H258" s="30">
        <f>MIN(IF(E258="",0,E258),B258)*G258</f>
        <v>0</v>
      </c>
      <c r="K258" s="5">
        <v>18</v>
      </c>
      <c r="L258" s="5">
        <f t="shared" si="32"/>
        <v>0</v>
      </c>
    </row>
    <row r="259" spans="1:12" ht="15" customHeight="1">
      <c r="A259" s="20"/>
      <c r="B259" s="43">
        <v>1</v>
      </c>
      <c r="C259" s="42" t="s">
        <v>122</v>
      </c>
      <c r="D259" s="42"/>
      <c r="E259" s="24"/>
      <c r="F259" s="64">
        <f>IF(E259&gt;B259,"?","")</f>
      </c>
      <c r="G259" s="23">
        <v>5</v>
      </c>
      <c r="H259" s="30">
        <f>E259*G259</f>
        <v>0</v>
      </c>
      <c r="K259" s="5">
        <v>18</v>
      </c>
      <c r="L259" s="5">
        <f>E259/K259</f>
        <v>0</v>
      </c>
    </row>
    <row r="260" spans="1:12" ht="15" customHeight="1">
      <c r="A260" s="20"/>
      <c r="B260" s="43">
        <f>5-4-1+40-1</f>
        <v>39</v>
      </c>
      <c r="C260" s="42" t="s">
        <v>103</v>
      </c>
      <c r="D260" s="42" t="s">
        <v>359</v>
      </c>
      <c r="E260" s="24"/>
      <c r="F260" s="64">
        <f>IF(E260&gt;B260,"?","")</f>
      </c>
      <c r="G260" s="23">
        <v>5</v>
      </c>
      <c r="H260" s="30">
        <f>E260*G260</f>
        <v>0</v>
      </c>
      <c r="K260" s="5">
        <v>18</v>
      </c>
      <c r="L260" s="5">
        <f t="shared" si="32"/>
        <v>0</v>
      </c>
    </row>
    <row r="261" spans="1:12" ht="15" customHeight="1" hidden="1">
      <c r="A261" s="20"/>
      <c r="B261" s="43">
        <f>3+14-2-10-1+(1)-3-2</f>
        <v>0</v>
      </c>
      <c r="C261" s="42" t="s">
        <v>103</v>
      </c>
      <c r="D261" s="41" t="s">
        <v>119</v>
      </c>
      <c r="E261" s="24"/>
      <c r="F261" s="64">
        <f t="shared" si="34"/>
      </c>
      <c r="G261" s="23">
        <v>4</v>
      </c>
      <c r="H261" s="30">
        <f>MIN(IF(E261="",0,E261),B261)*G261</f>
        <v>0</v>
      </c>
      <c r="K261" s="5">
        <v>18</v>
      </c>
      <c r="L261" s="5">
        <f t="shared" si="32"/>
        <v>0</v>
      </c>
    </row>
    <row r="262" spans="1:12" ht="15" customHeight="1" hidden="1">
      <c r="A262" s="20"/>
      <c r="B262" s="43">
        <f>20-(20)</f>
        <v>0</v>
      </c>
      <c r="C262" s="42" t="s">
        <v>103</v>
      </c>
      <c r="D262" s="41" t="s">
        <v>120</v>
      </c>
      <c r="E262" s="24"/>
      <c r="F262" s="64">
        <f t="shared" si="34"/>
      </c>
      <c r="G262" s="23">
        <v>4</v>
      </c>
      <c r="H262" s="30">
        <f aca="true" t="shared" si="35" ref="H262:H270">MIN(IF(E262="",0,E262),B262)*G262</f>
        <v>0</v>
      </c>
      <c r="K262" s="5">
        <v>18</v>
      </c>
      <c r="L262" s="5">
        <f t="shared" si="32"/>
        <v>0</v>
      </c>
    </row>
    <row r="263" spans="1:12" ht="15" customHeight="1" hidden="1">
      <c r="A263" s="20"/>
      <c r="B263" s="43">
        <v>0</v>
      </c>
      <c r="C263" s="42" t="s">
        <v>103</v>
      </c>
      <c r="D263" s="41" t="s">
        <v>121</v>
      </c>
      <c r="E263" s="24"/>
      <c r="F263" s="64">
        <f t="shared" si="34"/>
      </c>
      <c r="G263" s="23">
        <v>4</v>
      </c>
      <c r="H263" s="30">
        <f t="shared" si="35"/>
        <v>0</v>
      </c>
      <c r="K263" s="5">
        <v>18</v>
      </c>
      <c r="L263" s="5">
        <f t="shared" si="32"/>
        <v>0</v>
      </c>
    </row>
    <row r="264" spans="1:12" ht="15" customHeight="1">
      <c r="A264" s="20"/>
      <c r="B264" s="43">
        <f>10-2-1-2-1-1</f>
        <v>3</v>
      </c>
      <c r="C264" s="42" t="s">
        <v>103</v>
      </c>
      <c r="D264" s="41" t="s">
        <v>207</v>
      </c>
      <c r="E264" s="24"/>
      <c r="F264" s="64">
        <f t="shared" si="34"/>
      </c>
      <c r="G264" s="23">
        <v>4</v>
      </c>
      <c r="H264" s="30">
        <f t="shared" si="35"/>
        <v>0</v>
      </c>
      <c r="K264" s="5">
        <v>18</v>
      </c>
      <c r="L264" s="5">
        <f aca="true" t="shared" si="36" ref="L264:L270">E264/K264</f>
        <v>0</v>
      </c>
    </row>
    <row r="265" spans="1:12" ht="15" customHeight="1" hidden="1">
      <c r="A265" s="20"/>
      <c r="B265" s="43">
        <f>1-1</f>
        <v>0</v>
      </c>
      <c r="C265" s="42" t="s">
        <v>103</v>
      </c>
      <c r="D265" s="41" t="s">
        <v>201</v>
      </c>
      <c r="E265" s="24"/>
      <c r="F265" s="64">
        <f t="shared" si="34"/>
      </c>
      <c r="G265" s="23">
        <v>4</v>
      </c>
      <c r="H265" s="30">
        <f t="shared" si="35"/>
        <v>0</v>
      </c>
      <c r="K265" s="5">
        <v>18</v>
      </c>
      <c r="L265" s="5">
        <f t="shared" si="36"/>
        <v>0</v>
      </c>
    </row>
    <row r="266" spans="1:12" ht="15" customHeight="1">
      <c r="A266" s="20"/>
      <c r="B266" s="43">
        <v>1</v>
      </c>
      <c r="C266" s="42" t="s">
        <v>103</v>
      </c>
      <c r="D266" s="41" t="s">
        <v>214</v>
      </c>
      <c r="E266" s="24"/>
      <c r="F266" s="64">
        <f t="shared" si="34"/>
      </c>
      <c r="G266" s="23">
        <v>3</v>
      </c>
      <c r="H266" s="30">
        <f t="shared" si="35"/>
        <v>0</v>
      </c>
      <c r="K266" s="5">
        <v>18</v>
      </c>
      <c r="L266" s="5">
        <f>E266/K266</f>
        <v>0</v>
      </c>
    </row>
    <row r="267" spans="1:12" ht="15" customHeight="1" hidden="1">
      <c r="A267" s="20"/>
      <c r="B267" s="43">
        <f>3-1-1-1</f>
        <v>0</v>
      </c>
      <c r="C267" s="42" t="s">
        <v>103</v>
      </c>
      <c r="D267" s="41" t="s">
        <v>190</v>
      </c>
      <c r="E267" s="24"/>
      <c r="F267" s="64">
        <f t="shared" si="34"/>
      </c>
      <c r="G267" s="23">
        <v>3</v>
      </c>
      <c r="H267" s="30">
        <f t="shared" si="35"/>
        <v>0</v>
      </c>
      <c r="K267" s="5">
        <v>18</v>
      </c>
      <c r="L267" s="5">
        <f t="shared" si="36"/>
        <v>0</v>
      </c>
    </row>
    <row r="268" spans="1:12" ht="15" customHeight="1" hidden="1">
      <c r="A268" s="20"/>
      <c r="B268" s="43">
        <v>0</v>
      </c>
      <c r="C268" s="42" t="s">
        <v>103</v>
      </c>
      <c r="D268" s="41" t="s">
        <v>191</v>
      </c>
      <c r="E268" s="24"/>
      <c r="F268" s="64">
        <f t="shared" si="34"/>
      </c>
      <c r="G268" s="23">
        <v>3</v>
      </c>
      <c r="H268" s="30">
        <f t="shared" si="35"/>
        <v>0</v>
      </c>
      <c r="K268" s="5">
        <v>18</v>
      </c>
      <c r="L268" s="5">
        <f t="shared" si="36"/>
        <v>0</v>
      </c>
    </row>
    <row r="269" spans="1:12" ht="15" customHeight="1">
      <c r="A269" s="20"/>
      <c r="B269" s="43">
        <f>29</f>
        <v>29</v>
      </c>
      <c r="C269" s="42" t="s">
        <v>103</v>
      </c>
      <c r="D269" s="41" t="s">
        <v>198</v>
      </c>
      <c r="E269" s="24"/>
      <c r="F269" s="64">
        <f t="shared" si="34"/>
      </c>
      <c r="G269" s="23">
        <v>3</v>
      </c>
      <c r="H269" s="30">
        <f t="shared" si="35"/>
        <v>0</v>
      </c>
      <c r="K269" s="5">
        <v>18</v>
      </c>
      <c r="L269" s="5">
        <f t="shared" si="36"/>
        <v>0</v>
      </c>
    </row>
    <row r="270" spans="1:12" ht="15" customHeight="1" hidden="1">
      <c r="A270" s="20"/>
      <c r="B270" s="43">
        <f>1-1</f>
        <v>0</v>
      </c>
      <c r="C270" s="42" t="s">
        <v>103</v>
      </c>
      <c r="D270" s="41" t="s">
        <v>199</v>
      </c>
      <c r="E270" s="24"/>
      <c r="F270" s="64">
        <f t="shared" si="34"/>
      </c>
      <c r="G270" s="23">
        <v>3</v>
      </c>
      <c r="H270" s="30">
        <f t="shared" si="35"/>
        <v>0</v>
      </c>
      <c r="K270" s="5">
        <v>18</v>
      </c>
      <c r="L270" s="5">
        <f t="shared" si="36"/>
        <v>0</v>
      </c>
    </row>
    <row r="271" spans="1:12" ht="15" customHeight="1">
      <c r="A271" s="20"/>
      <c r="B271" s="43">
        <f>13-1+1-1-1-1-1-2-(2)</f>
        <v>5</v>
      </c>
      <c r="C271" s="42" t="s">
        <v>177</v>
      </c>
      <c r="D271" s="20"/>
      <c r="E271" s="24"/>
      <c r="F271" s="64">
        <f aca="true" t="shared" si="37" ref="F271:F292">IF(E271&gt;B271,"?","")</f>
      </c>
      <c r="G271" s="23">
        <v>3</v>
      </c>
      <c r="H271" s="30">
        <f t="shared" si="30"/>
        <v>0</v>
      </c>
      <c r="K271" s="5">
        <v>18</v>
      </c>
      <c r="L271" s="5">
        <f aca="true" t="shared" si="38" ref="L271:L278">E271/K271</f>
        <v>0</v>
      </c>
    </row>
    <row r="272" spans="1:12" ht="15" customHeight="1" hidden="1">
      <c r="A272" s="20"/>
      <c r="B272" s="43">
        <v>0</v>
      </c>
      <c r="C272" s="42" t="s">
        <v>231</v>
      </c>
      <c r="D272" s="20"/>
      <c r="E272" s="24"/>
      <c r="F272" s="64">
        <f t="shared" si="37"/>
      </c>
      <c r="G272" s="23">
        <v>2.5</v>
      </c>
      <c r="H272" s="30">
        <f aca="true" t="shared" si="39" ref="H272:H277">MIN(IF(E272="",0,E272),B272)*G272</f>
        <v>0</v>
      </c>
      <c r="K272" s="5">
        <v>18</v>
      </c>
      <c r="L272" s="5">
        <f t="shared" si="38"/>
        <v>0</v>
      </c>
    </row>
    <row r="273" spans="1:12" ht="15" customHeight="1" hidden="1">
      <c r="A273" s="20"/>
      <c r="B273" s="43">
        <v>0</v>
      </c>
      <c r="C273" s="42" t="s">
        <v>244</v>
      </c>
      <c r="D273" s="20"/>
      <c r="E273" s="24"/>
      <c r="F273" s="64">
        <f t="shared" si="37"/>
      </c>
      <c r="G273" s="23">
        <v>3</v>
      </c>
      <c r="H273" s="30">
        <f t="shared" si="39"/>
        <v>0</v>
      </c>
      <c r="K273" s="5">
        <v>18</v>
      </c>
      <c r="L273" s="5">
        <f t="shared" si="38"/>
        <v>0</v>
      </c>
    </row>
    <row r="274" spans="1:12" ht="15" customHeight="1">
      <c r="A274" s="20"/>
      <c r="B274" s="43">
        <f>31-2-5</f>
        <v>24</v>
      </c>
      <c r="C274" s="42" t="s">
        <v>324</v>
      </c>
      <c r="D274" s="41" t="s">
        <v>325</v>
      </c>
      <c r="E274" s="24"/>
      <c r="F274" s="64">
        <f t="shared" si="37"/>
      </c>
      <c r="G274" s="23">
        <v>3</v>
      </c>
      <c r="H274" s="30">
        <f t="shared" si="39"/>
        <v>0</v>
      </c>
      <c r="K274" s="5">
        <v>18</v>
      </c>
      <c r="L274" s="5">
        <f t="shared" si="38"/>
        <v>0</v>
      </c>
    </row>
    <row r="275" spans="1:12" ht="15" customHeight="1">
      <c r="A275" s="20"/>
      <c r="B275" s="43">
        <f>29-2</f>
        <v>27</v>
      </c>
      <c r="C275" s="42" t="s">
        <v>324</v>
      </c>
      <c r="D275" s="41" t="s">
        <v>326</v>
      </c>
      <c r="E275" s="24"/>
      <c r="F275" s="64">
        <f t="shared" si="37"/>
      </c>
      <c r="G275" s="23">
        <v>3</v>
      </c>
      <c r="H275" s="30">
        <f t="shared" si="39"/>
        <v>0</v>
      </c>
      <c r="K275" s="5">
        <v>18</v>
      </c>
      <c r="L275" s="5">
        <f t="shared" si="38"/>
        <v>0</v>
      </c>
    </row>
    <row r="276" spans="1:12" ht="15" customHeight="1">
      <c r="A276" s="20"/>
      <c r="B276" s="43">
        <f>32-2-5-1</f>
        <v>24</v>
      </c>
      <c r="C276" s="42" t="s">
        <v>324</v>
      </c>
      <c r="D276" s="41" t="s">
        <v>327</v>
      </c>
      <c r="E276" s="24"/>
      <c r="F276" s="64">
        <f t="shared" si="37"/>
      </c>
      <c r="G276" s="23">
        <v>3</v>
      </c>
      <c r="H276" s="30">
        <f t="shared" si="39"/>
        <v>0</v>
      </c>
      <c r="K276" s="5">
        <v>18</v>
      </c>
      <c r="L276" s="5">
        <f t="shared" si="38"/>
        <v>0</v>
      </c>
    </row>
    <row r="277" spans="1:12" ht="15" customHeight="1">
      <c r="A277" s="20"/>
      <c r="B277" s="43">
        <f>22-2-1-5</f>
        <v>14</v>
      </c>
      <c r="C277" s="42" t="s">
        <v>324</v>
      </c>
      <c r="D277" s="41" t="s">
        <v>328</v>
      </c>
      <c r="E277" s="24"/>
      <c r="F277" s="64">
        <f t="shared" si="37"/>
      </c>
      <c r="G277" s="23">
        <v>3</v>
      </c>
      <c r="H277" s="30">
        <f t="shared" si="39"/>
        <v>0</v>
      </c>
      <c r="K277" s="5">
        <v>18</v>
      </c>
      <c r="L277" s="5">
        <f t="shared" si="38"/>
        <v>0</v>
      </c>
    </row>
    <row r="278" spans="1:12" ht="15" customHeight="1">
      <c r="A278" s="20"/>
      <c r="B278" s="43" t="s">
        <v>31</v>
      </c>
      <c r="C278" s="42" t="s">
        <v>220</v>
      </c>
      <c r="D278" s="20"/>
      <c r="E278" s="24"/>
      <c r="F278" s="64">
        <f t="shared" si="37"/>
      </c>
      <c r="G278" s="23">
        <v>2.5</v>
      </c>
      <c r="H278" s="30">
        <f t="shared" si="30"/>
        <v>0</v>
      </c>
      <c r="K278" s="5">
        <v>18</v>
      </c>
      <c r="L278" s="5">
        <f t="shared" si="38"/>
        <v>0</v>
      </c>
    </row>
    <row r="279" spans="1:12" ht="15" customHeight="1">
      <c r="A279" s="20"/>
      <c r="B279" s="43" t="s">
        <v>31</v>
      </c>
      <c r="C279" s="42" t="s">
        <v>202</v>
      </c>
      <c r="D279" s="20"/>
      <c r="E279" s="24"/>
      <c r="F279" s="64">
        <f t="shared" si="37"/>
      </c>
      <c r="G279" s="23">
        <v>2.5</v>
      </c>
      <c r="H279" s="30">
        <f aca="true" t="shared" si="40" ref="H279:H295">MIN(IF(E279="",0,E279),B279)*G279</f>
        <v>0</v>
      </c>
      <c r="K279" s="5">
        <v>18</v>
      </c>
      <c r="L279" s="5">
        <f aca="true" t="shared" si="41" ref="L279:L292">E279/K279</f>
        <v>0</v>
      </c>
    </row>
    <row r="280" spans="1:12" ht="15" customHeight="1">
      <c r="A280" s="20"/>
      <c r="B280" s="43" t="s">
        <v>31</v>
      </c>
      <c r="C280" s="42" t="s">
        <v>178</v>
      </c>
      <c r="D280" s="20"/>
      <c r="E280" s="24"/>
      <c r="F280" s="64">
        <f t="shared" si="37"/>
      </c>
      <c r="G280" s="23">
        <v>2.5</v>
      </c>
      <c r="H280" s="30">
        <f t="shared" si="40"/>
        <v>0</v>
      </c>
      <c r="K280" s="5">
        <v>18</v>
      </c>
      <c r="L280" s="5">
        <f t="shared" si="41"/>
        <v>0</v>
      </c>
    </row>
    <row r="281" spans="1:12" ht="15" customHeight="1">
      <c r="A281" s="20"/>
      <c r="B281" s="43" t="s">
        <v>31</v>
      </c>
      <c r="C281" s="42" t="s">
        <v>227</v>
      </c>
      <c r="D281" s="20"/>
      <c r="E281" s="24"/>
      <c r="F281" s="64">
        <f t="shared" si="37"/>
      </c>
      <c r="G281" s="23">
        <v>2.5</v>
      </c>
      <c r="H281" s="30">
        <f>MIN(IF(E281="",0,E281),B281)*G281</f>
        <v>0</v>
      </c>
      <c r="K281" s="5">
        <v>18</v>
      </c>
      <c r="L281" s="5">
        <f>E281/K281</f>
        <v>0</v>
      </c>
    </row>
    <row r="282" spans="1:12" ht="15" customHeight="1">
      <c r="A282" s="20"/>
      <c r="B282" s="43" t="s">
        <v>31</v>
      </c>
      <c r="C282" s="42" t="s">
        <v>242</v>
      </c>
      <c r="D282" s="20"/>
      <c r="E282" s="24"/>
      <c r="F282" s="64">
        <f t="shared" si="37"/>
      </c>
      <c r="G282" s="23">
        <v>2.5</v>
      </c>
      <c r="H282" s="30">
        <f>MIN(IF(E282="",0,E282),B282)*G282</f>
        <v>0</v>
      </c>
      <c r="K282" s="5">
        <v>18</v>
      </c>
      <c r="L282" s="5">
        <f>E282/K282</f>
        <v>0</v>
      </c>
    </row>
    <row r="283" spans="1:12" ht="15" customHeight="1">
      <c r="A283" s="20"/>
      <c r="B283" s="43">
        <f>12-1</f>
        <v>11</v>
      </c>
      <c r="C283" s="42" t="s">
        <v>240</v>
      </c>
      <c r="D283" s="20"/>
      <c r="E283" s="24"/>
      <c r="F283" s="64">
        <f t="shared" si="37"/>
      </c>
      <c r="G283" s="23">
        <v>2.5</v>
      </c>
      <c r="H283" s="30">
        <f>MIN(IF(E283="",0,E283),B283)*G283</f>
        <v>0</v>
      </c>
      <c r="K283" s="5">
        <v>18</v>
      </c>
      <c r="L283" s="5">
        <f>E283/K283</f>
        <v>0</v>
      </c>
    </row>
    <row r="284" spans="1:12" ht="15" customHeight="1">
      <c r="A284" s="20"/>
      <c r="B284" s="43">
        <f>8-2-1-1+(1)</f>
        <v>5</v>
      </c>
      <c r="C284" s="42" t="s">
        <v>243</v>
      </c>
      <c r="D284" s="20"/>
      <c r="E284" s="24"/>
      <c r="F284" s="64">
        <f t="shared" si="37"/>
      </c>
      <c r="G284" s="23">
        <v>1</v>
      </c>
      <c r="H284" s="30">
        <f>MIN(IF(E284="",0,E284),B284)*G284</f>
        <v>0</v>
      </c>
      <c r="K284" s="5">
        <v>18</v>
      </c>
      <c r="L284" s="5">
        <f>E284/K284</f>
        <v>0</v>
      </c>
    </row>
    <row r="285" spans="1:12" ht="15" customHeight="1" hidden="1">
      <c r="A285" s="20"/>
      <c r="B285" s="43">
        <v>0</v>
      </c>
      <c r="C285" s="42" t="s">
        <v>145</v>
      </c>
      <c r="D285" s="20"/>
      <c r="E285" s="24"/>
      <c r="F285" s="64">
        <f t="shared" si="37"/>
      </c>
      <c r="G285" s="23">
        <v>2.5</v>
      </c>
      <c r="H285" s="30">
        <f t="shared" si="40"/>
        <v>0</v>
      </c>
      <c r="K285" s="5">
        <v>18</v>
      </c>
      <c r="L285" s="5">
        <f t="shared" si="41"/>
        <v>0</v>
      </c>
    </row>
    <row r="286" spans="1:12" ht="14.25" customHeight="1" hidden="1">
      <c r="A286" s="20"/>
      <c r="B286" s="43">
        <v>0</v>
      </c>
      <c r="C286" s="42" t="s">
        <v>193</v>
      </c>
      <c r="D286" s="20"/>
      <c r="E286" s="24"/>
      <c r="F286" s="64">
        <f t="shared" si="37"/>
      </c>
      <c r="G286" s="23">
        <v>3</v>
      </c>
      <c r="H286" s="30">
        <f>MIN(IF(E286="",0,E286),B286)*G286</f>
        <v>0</v>
      </c>
      <c r="K286" s="5">
        <v>18</v>
      </c>
      <c r="L286" s="5">
        <f>E286/K286</f>
        <v>0</v>
      </c>
    </row>
    <row r="287" spans="1:12" ht="14.25" customHeight="1" hidden="1">
      <c r="A287" s="20"/>
      <c r="B287" s="43">
        <f>1-1</f>
        <v>0</v>
      </c>
      <c r="C287" s="42" t="s">
        <v>118</v>
      </c>
      <c r="D287" s="20"/>
      <c r="E287" s="24"/>
      <c r="F287" s="64">
        <f t="shared" si="37"/>
      </c>
      <c r="G287" s="23">
        <v>2.5</v>
      </c>
      <c r="H287" s="30">
        <f>MIN(IF(E287="",0,E287),B287)*G287</f>
        <v>0</v>
      </c>
      <c r="K287" s="5">
        <v>18</v>
      </c>
      <c r="L287" s="5">
        <f>E287/K287</f>
        <v>0</v>
      </c>
    </row>
    <row r="288" spans="1:12" ht="15" customHeight="1">
      <c r="A288" s="20"/>
      <c r="B288" s="43">
        <f>3-1</f>
        <v>2</v>
      </c>
      <c r="C288" s="42" t="s">
        <v>52</v>
      </c>
      <c r="D288" s="42" t="s">
        <v>53</v>
      </c>
      <c r="E288" s="24"/>
      <c r="F288" s="64">
        <f t="shared" si="37"/>
      </c>
      <c r="G288" s="23">
        <v>2.5</v>
      </c>
      <c r="H288" s="30">
        <f t="shared" si="40"/>
        <v>0</v>
      </c>
      <c r="K288" s="5">
        <v>18</v>
      </c>
      <c r="L288" s="5">
        <f t="shared" si="41"/>
        <v>0</v>
      </c>
    </row>
    <row r="289" spans="1:15" ht="15" customHeight="1">
      <c r="A289" s="20"/>
      <c r="B289" s="43">
        <f>4+(2)-1</f>
        <v>5</v>
      </c>
      <c r="C289" s="42" t="s">
        <v>52</v>
      </c>
      <c r="D289" s="42" t="s">
        <v>54</v>
      </c>
      <c r="E289" s="24"/>
      <c r="F289" s="64">
        <f t="shared" si="37"/>
      </c>
      <c r="G289" s="23">
        <v>2.5</v>
      </c>
      <c r="H289" s="30">
        <f t="shared" si="40"/>
        <v>0</v>
      </c>
      <c r="J289" s="34"/>
      <c r="K289" s="5">
        <v>18</v>
      </c>
      <c r="L289" s="5">
        <f t="shared" si="41"/>
        <v>0</v>
      </c>
      <c r="O289" s="34"/>
    </row>
    <row r="290" spans="1:15" ht="15" customHeight="1">
      <c r="A290" s="20"/>
      <c r="B290" s="43">
        <v>4</v>
      </c>
      <c r="C290" s="41">
        <v>513</v>
      </c>
      <c r="D290" s="41" t="s">
        <v>55</v>
      </c>
      <c r="E290" s="24"/>
      <c r="F290" s="64">
        <f t="shared" si="37"/>
      </c>
      <c r="G290" s="23">
        <v>2.5</v>
      </c>
      <c r="H290" s="30">
        <f t="shared" si="40"/>
        <v>0</v>
      </c>
      <c r="J290" s="33"/>
      <c r="K290" s="5">
        <v>18</v>
      </c>
      <c r="L290" s="5">
        <f t="shared" si="41"/>
        <v>0</v>
      </c>
      <c r="O290" s="38"/>
    </row>
    <row r="291" spans="1:20" ht="14.25" customHeight="1">
      <c r="A291" s="20"/>
      <c r="B291" s="43">
        <v>2</v>
      </c>
      <c r="C291" s="41">
        <v>513</v>
      </c>
      <c r="D291" s="41" t="s">
        <v>56</v>
      </c>
      <c r="E291" s="24"/>
      <c r="F291" s="64">
        <f t="shared" si="37"/>
      </c>
      <c r="G291" s="23">
        <v>3</v>
      </c>
      <c r="H291" s="30">
        <f t="shared" si="40"/>
        <v>0</v>
      </c>
      <c r="K291" s="5">
        <v>18</v>
      </c>
      <c r="L291" s="5">
        <f t="shared" si="41"/>
        <v>0</v>
      </c>
      <c r="T291" s="52"/>
    </row>
    <row r="292" spans="1:12" ht="15" customHeight="1" hidden="1">
      <c r="A292" s="20"/>
      <c r="B292" s="43">
        <f>1-1</f>
        <v>0</v>
      </c>
      <c r="C292" s="42" t="s">
        <v>163</v>
      </c>
      <c r="D292" s="42"/>
      <c r="E292" s="24"/>
      <c r="F292" s="64">
        <f t="shared" si="37"/>
      </c>
      <c r="G292" s="23">
        <v>3</v>
      </c>
      <c r="H292" s="30">
        <f t="shared" si="40"/>
        <v>0</v>
      </c>
      <c r="K292" s="5">
        <v>18</v>
      </c>
      <c r="L292" s="5">
        <f t="shared" si="41"/>
        <v>0</v>
      </c>
    </row>
    <row r="293" spans="1:12" ht="15" customHeight="1" hidden="1">
      <c r="A293" s="20"/>
      <c r="B293" s="43">
        <f>13-3-4-(3)-2-1</f>
        <v>0</v>
      </c>
      <c r="C293" s="42" t="s">
        <v>70</v>
      </c>
      <c r="D293" s="20"/>
      <c r="E293" s="24"/>
      <c r="F293" s="64">
        <f aca="true" t="shared" si="42" ref="F293:F344">IF(E293&gt;B293,"?","")</f>
      </c>
      <c r="G293" s="23">
        <v>2.5</v>
      </c>
      <c r="H293" s="30">
        <f t="shared" si="40"/>
        <v>0</v>
      </c>
      <c r="K293" s="5">
        <v>18</v>
      </c>
      <c r="L293" s="5">
        <f aca="true" t="shared" si="43" ref="L293:L325">E293/K293</f>
        <v>0</v>
      </c>
    </row>
    <row r="294" spans="1:12" ht="15" customHeight="1" hidden="1">
      <c r="A294" s="20"/>
      <c r="B294" s="43">
        <v>0</v>
      </c>
      <c r="C294" s="42" t="s">
        <v>94</v>
      </c>
      <c r="D294" s="20"/>
      <c r="E294" s="24"/>
      <c r="F294" s="64">
        <f t="shared" si="42"/>
      </c>
      <c r="G294" s="23">
        <v>2.5</v>
      </c>
      <c r="H294" s="30">
        <f t="shared" si="40"/>
        <v>0</v>
      </c>
      <c r="K294" s="5">
        <v>18</v>
      </c>
      <c r="L294" s="5">
        <f t="shared" si="43"/>
        <v>0</v>
      </c>
    </row>
    <row r="295" spans="1:12" ht="15" customHeight="1" hidden="1">
      <c r="A295" s="20"/>
      <c r="B295" s="43">
        <v>0</v>
      </c>
      <c r="C295" s="42" t="s">
        <v>95</v>
      </c>
      <c r="D295" s="20"/>
      <c r="E295" s="24"/>
      <c r="F295" s="64">
        <f t="shared" si="42"/>
      </c>
      <c r="G295" s="23">
        <v>2.5</v>
      </c>
      <c r="H295" s="30">
        <f t="shared" si="40"/>
        <v>0</v>
      </c>
      <c r="K295" s="5">
        <v>18</v>
      </c>
      <c r="L295" s="5">
        <f t="shared" si="43"/>
        <v>0</v>
      </c>
    </row>
    <row r="296" spans="1:12" ht="15" customHeight="1">
      <c r="A296" s="20"/>
      <c r="B296" s="43">
        <f>4+2-1+(1)-1</f>
        <v>5</v>
      </c>
      <c r="C296" s="42" t="s">
        <v>100</v>
      </c>
      <c r="D296" s="20"/>
      <c r="E296" s="24"/>
      <c r="F296" s="64">
        <f t="shared" si="42"/>
      </c>
      <c r="G296" s="23">
        <v>3</v>
      </c>
      <c r="H296" s="30">
        <f aca="true" t="shared" si="44" ref="H296:H308">MIN(IF(E296="",0,E296),B296)*G296</f>
        <v>0</v>
      </c>
      <c r="K296" s="5">
        <v>18</v>
      </c>
      <c r="L296" s="5">
        <f t="shared" si="43"/>
        <v>0</v>
      </c>
    </row>
    <row r="297" spans="1:12" ht="15" customHeight="1">
      <c r="A297" s="20"/>
      <c r="B297" s="43">
        <f>12-2-2-2-2-1</f>
        <v>3</v>
      </c>
      <c r="C297" s="42" t="s">
        <v>60</v>
      </c>
      <c r="D297" s="20"/>
      <c r="E297" s="24"/>
      <c r="F297" s="64">
        <f t="shared" si="42"/>
      </c>
      <c r="G297" s="23">
        <v>2</v>
      </c>
      <c r="H297" s="30">
        <f t="shared" si="44"/>
        <v>0</v>
      </c>
      <c r="K297" s="5">
        <v>18</v>
      </c>
      <c r="L297" s="5">
        <f t="shared" si="43"/>
        <v>0</v>
      </c>
    </row>
    <row r="298" spans="1:12" ht="15" customHeight="1" hidden="1">
      <c r="A298" s="20"/>
      <c r="B298" s="43">
        <v>0</v>
      </c>
      <c r="C298" s="42" t="s">
        <v>61</v>
      </c>
      <c r="D298" s="20"/>
      <c r="E298" s="24"/>
      <c r="F298" s="64">
        <f t="shared" si="42"/>
      </c>
      <c r="G298" s="23">
        <v>3</v>
      </c>
      <c r="H298" s="30">
        <f t="shared" si="44"/>
        <v>0</v>
      </c>
      <c r="K298" s="5">
        <v>18</v>
      </c>
      <c r="L298" s="5">
        <f t="shared" si="43"/>
        <v>0</v>
      </c>
    </row>
    <row r="299" spans="1:12" ht="15" customHeight="1" hidden="1">
      <c r="A299" s="20"/>
      <c r="B299" s="43">
        <f>7-1-3-3</f>
        <v>0</v>
      </c>
      <c r="C299" s="42" t="s">
        <v>301</v>
      </c>
      <c r="D299" s="20"/>
      <c r="E299" s="24"/>
      <c r="F299" s="64">
        <f aca="true" t="shared" si="45" ref="F299:F308">IF(E299&gt;B299,"?","")</f>
      </c>
      <c r="G299" s="23">
        <v>2.5</v>
      </c>
      <c r="H299" s="30">
        <f>MIN(IF(E299="",0,E299),B299)*G299</f>
        <v>0</v>
      </c>
      <c r="K299" s="5">
        <v>18</v>
      </c>
      <c r="L299" s="5">
        <f aca="true" t="shared" si="46" ref="L299:L308">E299/K299</f>
        <v>0</v>
      </c>
    </row>
    <row r="300" spans="1:12" ht="15" customHeight="1" hidden="1">
      <c r="A300" s="20"/>
      <c r="B300" s="43">
        <f>2-2</f>
        <v>0</v>
      </c>
      <c r="C300" s="42" t="s">
        <v>302</v>
      </c>
      <c r="D300" s="20"/>
      <c r="E300" s="24"/>
      <c r="F300" s="64">
        <f t="shared" si="45"/>
      </c>
      <c r="G300" s="23">
        <v>2.5</v>
      </c>
      <c r="H300" s="30">
        <f>MIN(IF(E300="",0,E300),B300)*G300</f>
        <v>0</v>
      </c>
      <c r="K300" s="5">
        <v>18</v>
      </c>
      <c r="L300" s="5">
        <f t="shared" si="46"/>
        <v>0</v>
      </c>
    </row>
    <row r="301" spans="1:8" ht="15" customHeight="1">
      <c r="A301" s="20"/>
      <c r="B301" s="45" t="s">
        <v>320</v>
      </c>
      <c r="C301" s="42"/>
      <c r="D301" s="20"/>
      <c r="E301" s="44"/>
      <c r="F301" s="64">
        <f>IF(E301&gt;B301,"?","")</f>
      </c>
      <c r="G301" s="23"/>
      <c r="H301" s="30"/>
    </row>
    <row r="302" spans="1:12" ht="15" customHeight="1" hidden="1">
      <c r="A302" s="20"/>
      <c r="B302" s="51">
        <f>1-1</f>
        <v>0</v>
      </c>
      <c r="C302" s="21" t="s">
        <v>321</v>
      </c>
      <c r="D302" s="53"/>
      <c r="E302" s="24"/>
      <c r="F302" s="64">
        <f>IF(E302&gt;B302,"?","")</f>
      </c>
      <c r="G302" s="23">
        <v>3</v>
      </c>
      <c r="H302" s="30">
        <f>MIN(IF(E302="",0,E302),B302)*G302</f>
        <v>0</v>
      </c>
      <c r="K302" s="5">
        <v>10</v>
      </c>
      <c r="L302" s="5">
        <f>E302/K302</f>
        <v>0</v>
      </c>
    </row>
    <row r="303" spans="1:12" ht="15" customHeight="1">
      <c r="A303" s="20"/>
      <c r="B303" s="51">
        <f>8-1-1</f>
        <v>6</v>
      </c>
      <c r="C303" s="21" t="s">
        <v>323</v>
      </c>
      <c r="D303" s="53"/>
      <c r="E303" s="24"/>
      <c r="F303" s="64">
        <f>IF(E303&gt;B303,"?","")</f>
      </c>
      <c r="G303" s="23">
        <v>3</v>
      </c>
      <c r="H303" s="30">
        <f>MIN(IF(E303="",0,E303),B303)*G303</f>
        <v>0</v>
      </c>
      <c r="K303" s="5">
        <v>10</v>
      </c>
      <c r="L303" s="5">
        <f>E303/K303</f>
        <v>0</v>
      </c>
    </row>
    <row r="304" spans="1:12" ht="15" customHeight="1">
      <c r="A304" s="20"/>
      <c r="B304" s="51">
        <f>11-1</f>
        <v>10</v>
      </c>
      <c r="C304" s="21" t="s">
        <v>322</v>
      </c>
      <c r="D304" s="53"/>
      <c r="E304" s="24"/>
      <c r="F304" s="64">
        <f>IF(E304&gt;B304,"?","")</f>
      </c>
      <c r="G304" s="23">
        <v>3</v>
      </c>
      <c r="H304" s="30">
        <f>MIN(IF(E304="",0,E304),B304)*G304</f>
        <v>0</v>
      </c>
      <c r="K304" s="5">
        <v>10</v>
      </c>
      <c r="L304" s="5">
        <f>E304/K304</f>
        <v>0</v>
      </c>
    </row>
    <row r="305" spans="1:8" ht="15" customHeight="1">
      <c r="A305" s="20"/>
      <c r="B305" s="45" t="s">
        <v>292</v>
      </c>
      <c r="C305" s="42"/>
      <c r="D305" s="20"/>
      <c r="E305" s="44"/>
      <c r="F305" s="64">
        <f t="shared" si="45"/>
      </c>
      <c r="G305" s="23"/>
      <c r="H305" s="30"/>
    </row>
    <row r="306" spans="1:12" ht="15" customHeight="1">
      <c r="A306" s="20"/>
      <c r="B306" s="51" t="s">
        <v>31</v>
      </c>
      <c r="C306" s="21" t="s">
        <v>293</v>
      </c>
      <c r="D306" s="53" t="s">
        <v>179</v>
      </c>
      <c r="E306" s="24"/>
      <c r="F306" s="64">
        <f t="shared" si="45"/>
      </c>
      <c r="G306" s="23">
        <v>2.5</v>
      </c>
      <c r="H306" s="30">
        <f t="shared" si="44"/>
        <v>0</v>
      </c>
      <c r="K306" s="5">
        <v>10</v>
      </c>
      <c r="L306" s="5">
        <f t="shared" si="46"/>
        <v>0</v>
      </c>
    </row>
    <row r="307" spans="1:12" ht="15" customHeight="1" hidden="1">
      <c r="A307" s="20"/>
      <c r="B307" s="51">
        <f>2-2</f>
        <v>0</v>
      </c>
      <c r="C307" s="21" t="s">
        <v>294</v>
      </c>
      <c r="D307" s="53" t="s">
        <v>180</v>
      </c>
      <c r="E307" s="24"/>
      <c r="F307" s="64">
        <f t="shared" si="45"/>
      </c>
      <c r="G307" s="23">
        <v>2.5</v>
      </c>
      <c r="H307" s="30">
        <f t="shared" si="44"/>
        <v>0</v>
      </c>
      <c r="K307" s="5">
        <v>10</v>
      </c>
      <c r="L307" s="5">
        <f t="shared" si="46"/>
        <v>0</v>
      </c>
    </row>
    <row r="308" spans="1:12" ht="15" customHeight="1" hidden="1">
      <c r="A308" s="20"/>
      <c r="B308" s="51">
        <f>2-2</f>
        <v>0</v>
      </c>
      <c r="C308" s="21" t="s">
        <v>295</v>
      </c>
      <c r="D308" s="53" t="s">
        <v>296</v>
      </c>
      <c r="E308" s="24"/>
      <c r="F308" s="64">
        <f t="shared" si="45"/>
      </c>
      <c r="G308" s="23">
        <v>2.5</v>
      </c>
      <c r="H308" s="30">
        <f t="shared" si="44"/>
        <v>0</v>
      </c>
      <c r="K308" s="5">
        <v>10</v>
      </c>
      <c r="L308" s="5">
        <f t="shared" si="46"/>
        <v>0</v>
      </c>
    </row>
    <row r="309" spans="1:12" ht="15" customHeight="1" hidden="1">
      <c r="A309" s="20"/>
      <c r="B309" s="45" t="s">
        <v>196</v>
      </c>
      <c r="C309" s="42"/>
      <c r="D309" s="20"/>
      <c r="E309" s="44"/>
      <c r="F309" s="64">
        <f t="shared" si="42"/>
      </c>
      <c r="G309" s="23"/>
      <c r="H309" s="30">
        <f aca="true" t="shared" si="47" ref="H309:H324">MIN(IF(E309="",0,E309),B309)*G309</f>
        <v>0</v>
      </c>
      <c r="K309" s="5">
        <v>18</v>
      </c>
      <c r="L309" s="5">
        <f t="shared" si="43"/>
        <v>0</v>
      </c>
    </row>
    <row r="310" spans="1:12" ht="15" customHeight="1" hidden="1">
      <c r="A310" s="20"/>
      <c r="B310" s="51">
        <v>0</v>
      </c>
      <c r="C310" s="21" t="s">
        <v>194</v>
      </c>
      <c r="D310" s="53"/>
      <c r="E310" s="24"/>
      <c r="F310" s="64">
        <f t="shared" si="42"/>
      </c>
      <c r="G310" s="23">
        <v>2</v>
      </c>
      <c r="H310" s="30">
        <f t="shared" si="47"/>
        <v>0</v>
      </c>
      <c r="K310" s="5">
        <v>12</v>
      </c>
      <c r="L310" s="5">
        <f t="shared" si="43"/>
        <v>0</v>
      </c>
    </row>
    <row r="311" spans="1:12" ht="15" customHeight="1" hidden="1">
      <c r="A311" s="20"/>
      <c r="B311" s="51">
        <v>0</v>
      </c>
      <c r="C311" s="21" t="s">
        <v>195</v>
      </c>
      <c r="D311" s="53"/>
      <c r="E311" s="24"/>
      <c r="F311" s="64">
        <f t="shared" si="42"/>
      </c>
      <c r="G311" s="23">
        <v>2</v>
      </c>
      <c r="H311" s="30">
        <f t="shared" si="47"/>
        <v>0</v>
      </c>
      <c r="K311" s="5">
        <v>12</v>
      </c>
      <c r="L311" s="5">
        <f t="shared" si="43"/>
        <v>0</v>
      </c>
    </row>
    <row r="312" spans="1:12" ht="15" customHeight="1" hidden="1">
      <c r="A312" s="20"/>
      <c r="B312" s="51">
        <f>17-1-5-2+1-2-1-5-2</f>
        <v>0</v>
      </c>
      <c r="C312" s="21" t="s">
        <v>206</v>
      </c>
      <c r="D312" s="53"/>
      <c r="E312" s="24"/>
      <c r="F312" s="64">
        <f t="shared" si="42"/>
      </c>
      <c r="G312" s="23">
        <v>2</v>
      </c>
      <c r="H312" s="30">
        <f t="shared" si="47"/>
        <v>0</v>
      </c>
      <c r="K312" s="5">
        <v>12</v>
      </c>
      <c r="L312" s="5">
        <f t="shared" si="43"/>
        <v>0</v>
      </c>
    </row>
    <row r="313" spans="1:8" ht="15" customHeight="1" hidden="1">
      <c r="A313" s="20"/>
      <c r="B313" s="45" t="s">
        <v>264</v>
      </c>
      <c r="C313" s="42"/>
      <c r="D313" s="20"/>
      <c r="E313" s="44"/>
      <c r="F313" s="64">
        <f t="shared" si="42"/>
      </c>
      <c r="G313" s="23"/>
      <c r="H313" s="49"/>
    </row>
    <row r="314" spans="1:12" ht="15" customHeight="1" hidden="1">
      <c r="A314" s="20"/>
      <c r="B314" s="43">
        <f>2-1</f>
        <v>1</v>
      </c>
      <c r="C314" s="42" t="s">
        <v>267</v>
      </c>
      <c r="D314" s="41"/>
      <c r="E314" s="24"/>
      <c r="F314" s="64">
        <f>IF(E314&gt;B314,"?","")</f>
      </c>
      <c r="G314" s="23">
        <v>2.5</v>
      </c>
      <c r="H314" s="30">
        <f>MIN(IF(E314="",0,E314),B314)*G314</f>
        <v>0</v>
      </c>
      <c r="K314" s="5">
        <v>18</v>
      </c>
      <c r="L314" s="5">
        <f t="shared" si="43"/>
        <v>0</v>
      </c>
    </row>
    <row r="315" spans="1:12" ht="15" customHeight="1" hidden="1">
      <c r="A315" s="20"/>
      <c r="B315" s="43">
        <f>4-1</f>
        <v>3</v>
      </c>
      <c r="C315" s="42" t="s">
        <v>265</v>
      </c>
      <c r="D315" s="41"/>
      <c r="E315" s="24"/>
      <c r="F315" s="64">
        <f>IF(E315&gt;B315,"?","")</f>
      </c>
      <c r="G315" s="23">
        <v>2</v>
      </c>
      <c r="H315" s="30">
        <f>MIN(IF(E315="",0,E315),B315)*G315</f>
        <v>0</v>
      </c>
      <c r="K315" s="5">
        <v>18</v>
      </c>
      <c r="L315" s="5">
        <f t="shared" si="43"/>
        <v>0</v>
      </c>
    </row>
    <row r="316" spans="1:12" ht="15" customHeight="1" hidden="1">
      <c r="A316" s="20"/>
      <c r="B316" s="43">
        <f>6-1</f>
        <v>5</v>
      </c>
      <c r="C316" s="42" t="s">
        <v>266</v>
      </c>
      <c r="D316" s="20"/>
      <c r="E316" s="24"/>
      <c r="F316" s="64">
        <f>IF(E316&gt;B316,"?","")</f>
      </c>
      <c r="G316" s="23">
        <v>2</v>
      </c>
      <c r="H316" s="30">
        <f>MIN(IF(E316="",0,E316),B316)*G316</f>
        <v>0</v>
      </c>
      <c r="K316" s="5">
        <v>18</v>
      </c>
      <c r="L316" s="5">
        <f t="shared" si="43"/>
        <v>0</v>
      </c>
    </row>
    <row r="317" spans="1:12" ht="15" customHeight="1" hidden="1">
      <c r="A317" s="20"/>
      <c r="B317" s="43">
        <f>13-1</f>
        <v>12</v>
      </c>
      <c r="C317" s="42" t="s">
        <v>303</v>
      </c>
      <c r="D317" s="41"/>
      <c r="E317" s="24"/>
      <c r="F317" s="64">
        <f>IF(E317&gt;B317,"?","")</f>
      </c>
      <c r="G317" s="23">
        <v>2.5</v>
      </c>
      <c r="H317" s="30">
        <f>MIN(IF(E317="",0,E317),B317)*G317</f>
        <v>0</v>
      </c>
      <c r="K317" s="5">
        <v>18</v>
      </c>
      <c r="L317" s="5">
        <f>E317/K317</f>
        <v>0</v>
      </c>
    </row>
    <row r="318" spans="1:8" ht="15" customHeight="1">
      <c r="A318" s="20"/>
      <c r="B318" s="45" t="s">
        <v>88</v>
      </c>
      <c r="C318" s="42"/>
      <c r="D318" s="20"/>
      <c r="E318" s="44"/>
      <c r="F318" s="64">
        <f t="shared" si="42"/>
      </c>
      <c r="G318" s="23"/>
      <c r="H318" s="30">
        <f t="shared" si="47"/>
        <v>0</v>
      </c>
    </row>
    <row r="319" spans="1:12" ht="15" customHeight="1" hidden="1">
      <c r="A319" s="20"/>
      <c r="B319" s="51">
        <v>0</v>
      </c>
      <c r="C319" s="21" t="s">
        <v>72</v>
      </c>
      <c r="D319" s="53" t="s">
        <v>176</v>
      </c>
      <c r="E319" s="24"/>
      <c r="F319" s="64">
        <f t="shared" si="42"/>
      </c>
      <c r="G319" s="23">
        <v>2.5</v>
      </c>
      <c r="H319" s="30">
        <f t="shared" si="47"/>
        <v>0</v>
      </c>
      <c r="K319" s="5">
        <v>12</v>
      </c>
      <c r="L319" s="5">
        <f t="shared" si="43"/>
        <v>0</v>
      </c>
    </row>
    <row r="320" spans="1:12" ht="15" customHeight="1">
      <c r="A320" s="20"/>
      <c r="B320" s="51">
        <f>38-2-2-1-2+3-1-(9)-1</f>
        <v>23</v>
      </c>
      <c r="C320" s="21" t="s">
        <v>72</v>
      </c>
      <c r="D320" s="53" t="s">
        <v>179</v>
      </c>
      <c r="E320" s="24"/>
      <c r="F320" s="64">
        <f t="shared" si="42"/>
      </c>
      <c r="G320" s="23">
        <v>2</v>
      </c>
      <c r="H320" s="30">
        <f t="shared" si="47"/>
        <v>0</v>
      </c>
      <c r="K320" s="5">
        <v>12</v>
      </c>
      <c r="L320" s="5">
        <f t="shared" si="43"/>
        <v>0</v>
      </c>
    </row>
    <row r="321" spans="1:12" ht="15" customHeight="1" hidden="1">
      <c r="A321" s="20"/>
      <c r="B321" s="51">
        <v>0</v>
      </c>
      <c r="C321" s="21" t="s">
        <v>72</v>
      </c>
      <c r="D321" s="53" t="s">
        <v>232</v>
      </c>
      <c r="E321" s="24"/>
      <c r="F321" s="64">
        <f>IF(E321&gt;B321,"?","")</f>
      </c>
      <c r="G321" s="23">
        <v>2.5</v>
      </c>
      <c r="H321" s="30">
        <f>MIN(IF(E321="",0,E321),B321)*G321</f>
        <v>0</v>
      </c>
      <c r="K321" s="5">
        <v>12</v>
      </c>
      <c r="L321" s="5">
        <f t="shared" si="43"/>
        <v>0</v>
      </c>
    </row>
    <row r="322" spans="1:12" ht="15" customHeight="1">
      <c r="A322" s="20"/>
      <c r="B322" s="51">
        <f>11-2-1-1-4-1+(14)-1</f>
        <v>15</v>
      </c>
      <c r="C322" s="21" t="s">
        <v>80</v>
      </c>
      <c r="D322" s="53" t="s">
        <v>180</v>
      </c>
      <c r="E322" s="24"/>
      <c r="F322" s="64">
        <f t="shared" si="42"/>
      </c>
      <c r="G322" s="23">
        <v>2</v>
      </c>
      <c r="H322" s="30">
        <f t="shared" si="47"/>
        <v>0</v>
      </c>
      <c r="K322" s="5">
        <v>12</v>
      </c>
      <c r="L322" s="5">
        <f t="shared" si="43"/>
        <v>0</v>
      </c>
    </row>
    <row r="323" spans="1:12" ht="15" customHeight="1" hidden="1">
      <c r="A323" s="20"/>
      <c r="B323" s="51">
        <v>0</v>
      </c>
      <c r="C323" s="21" t="s">
        <v>80</v>
      </c>
      <c r="D323" s="53" t="s">
        <v>233</v>
      </c>
      <c r="E323" s="24"/>
      <c r="F323" s="64">
        <f t="shared" si="42"/>
      </c>
      <c r="G323" s="23">
        <v>2.5</v>
      </c>
      <c r="H323" s="30">
        <f t="shared" si="47"/>
        <v>0</v>
      </c>
      <c r="K323" s="5">
        <v>12</v>
      </c>
      <c r="L323" s="5">
        <f t="shared" si="43"/>
        <v>0</v>
      </c>
    </row>
    <row r="324" spans="1:12" ht="15" customHeight="1" hidden="1">
      <c r="A324" s="20"/>
      <c r="B324" s="51">
        <f>4-4</f>
        <v>0</v>
      </c>
      <c r="C324" s="21" t="s">
        <v>158</v>
      </c>
      <c r="D324" s="53" t="s">
        <v>159</v>
      </c>
      <c r="E324" s="24"/>
      <c r="F324" s="64">
        <f t="shared" si="42"/>
      </c>
      <c r="G324" s="23">
        <v>2</v>
      </c>
      <c r="H324" s="30">
        <f t="shared" si="47"/>
        <v>0</v>
      </c>
      <c r="K324" s="5">
        <v>12</v>
      </c>
      <c r="L324" s="5">
        <f t="shared" si="43"/>
        <v>0</v>
      </c>
    </row>
    <row r="325" spans="1:12" ht="15" customHeight="1" hidden="1">
      <c r="A325" s="20"/>
      <c r="B325" s="51">
        <v>0</v>
      </c>
      <c r="C325" s="21" t="s">
        <v>158</v>
      </c>
      <c r="D325" s="53" t="s">
        <v>234</v>
      </c>
      <c r="E325" s="24"/>
      <c r="F325" s="64">
        <f>IF(E325&gt;B325,"?","")</f>
      </c>
      <c r="G325" s="23">
        <v>2.5</v>
      </c>
      <c r="H325" s="30">
        <f>MIN(IF(E325="",0,E325),B325)*G325</f>
        <v>0</v>
      </c>
      <c r="K325" s="5">
        <v>12</v>
      </c>
      <c r="L325" s="5">
        <f t="shared" si="43"/>
        <v>0</v>
      </c>
    </row>
    <row r="326" spans="1:8" ht="15" customHeight="1">
      <c r="A326" s="20"/>
      <c r="B326" s="45" t="s">
        <v>67</v>
      </c>
      <c r="C326" s="42"/>
      <c r="D326" s="20"/>
      <c r="E326" s="44"/>
      <c r="F326" s="64">
        <f t="shared" si="42"/>
      </c>
      <c r="G326" s="23"/>
      <c r="H326" s="49"/>
    </row>
    <row r="327" spans="1:12" ht="15" customHeight="1">
      <c r="A327" s="20"/>
      <c r="B327" s="51" t="s">
        <v>31</v>
      </c>
      <c r="C327" s="21" t="s">
        <v>311</v>
      </c>
      <c r="D327" s="35"/>
      <c r="E327" s="24"/>
      <c r="F327" s="64">
        <f t="shared" si="42"/>
      </c>
      <c r="G327" s="23">
        <v>2</v>
      </c>
      <c r="H327" s="30">
        <f aca="true" t="shared" si="48" ref="H327:H359">MIN(IF(E327="",0,E327),B327)*G327</f>
        <v>0</v>
      </c>
      <c r="K327" s="5">
        <v>12</v>
      </c>
      <c r="L327" s="5">
        <f aca="true" t="shared" si="49" ref="L327:L377">E327/K327</f>
        <v>0</v>
      </c>
    </row>
    <row r="328" spans="1:12" ht="15" customHeight="1">
      <c r="A328" s="20"/>
      <c r="B328" s="51" t="s">
        <v>31</v>
      </c>
      <c r="C328" s="21" t="s">
        <v>210</v>
      </c>
      <c r="D328" s="35"/>
      <c r="E328" s="24"/>
      <c r="F328" s="64">
        <f t="shared" si="42"/>
      </c>
      <c r="G328" s="23">
        <v>2</v>
      </c>
      <c r="H328" s="30">
        <f t="shared" si="48"/>
        <v>0</v>
      </c>
      <c r="K328" s="5">
        <v>12</v>
      </c>
      <c r="L328" s="5">
        <f t="shared" si="49"/>
        <v>0</v>
      </c>
    </row>
    <row r="329" spans="1:12" ht="15" customHeight="1" hidden="1">
      <c r="A329" s="20"/>
      <c r="B329" s="51">
        <f>8-4-4</f>
        <v>0</v>
      </c>
      <c r="C329" s="21" t="s">
        <v>77</v>
      </c>
      <c r="D329" s="35"/>
      <c r="E329" s="24"/>
      <c r="F329" s="64"/>
      <c r="G329" s="23">
        <v>2</v>
      </c>
      <c r="H329" s="30">
        <f>MIN(IF(E329="",0,E329),B329)*G329</f>
        <v>0</v>
      </c>
      <c r="K329" s="5">
        <v>12</v>
      </c>
      <c r="L329" s="5">
        <f>E329/K329</f>
        <v>0</v>
      </c>
    </row>
    <row r="330" spans="1:12" ht="15" customHeight="1">
      <c r="A330" s="20"/>
      <c r="B330" s="51">
        <f>5-3-(1)-1+14-1-1</f>
        <v>12</v>
      </c>
      <c r="C330" s="21" t="s">
        <v>304</v>
      </c>
      <c r="D330" s="35"/>
      <c r="E330" s="24"/>
      <c r="F330" s="64"/>
      <c r="G330" s="23">
        <v>3</v>
      </c>
      <c r="H330" s="30">
        <f t="shared" si="48"/>
        <v>0</v>
      </c>
      <c r="K330" s="5">
        <v>12</v>
      </c>
      <c r="L330" s="5">
        <f t="shared" si="49"/>
        <v>0</v>
      </c>
    </row>
    <row r="331" spans="1:12" ht="18.75" customHeight="1" hidden="1">
      <c r="A331" s="20"/>
      <c r="B331" s="51">
        <v>0</v>
      </c>
      <c r="C331" s="21" t="s">
        <v>133</v>
      </c>
      <c r="D331" s="35"/>
      <c r="E331" s="24"/>
      <c r="F331" s="64">
        <f t="shared" si="42"/>
      </c>
      <c r="G331" s="23">
        <v>2.5</v>
      </c>
      <c r="H331" s="30">
        <f t="shared" si="48"/>
        <v>0</v>
      </c>
      <c r="K331" s="5">
        <v>12</v>
      </c>
      <c r="L331" s="5">
        <f t="shared" si="49"/>
        <v>0</v>
      </c>
    </row>
    <row r="332" spans="1:12" ht="18.75" customHeight="1" hidden="1">
      <c r="A332" s="20"/>
      <c r="B332" s="51">
        <v>0</v>
      </c>
      <c r="C332" s="21" t="s">
        <v>101</v>
      </c>
      <c r="D332" s="35"/>
      <c r="E332" s="24"/>
      <c r="F332" s="64">
        <f t="shared" si="42"/>
      </c>
      <c r="G332" s="23">
        <v>3</v>
      </c>
      <c r="H332" s="30">
        <f t="shared" si="48"/>
        <v>0</v>
      </c>
      <c r="K332" s="5">
        <v>12</v>
      </c>
      <c r="L332" s="5">
        <f t="shared" si="49"/>
        <v>0</v>
      </c>
    </row>
    <row r="333" spans="1:12" ht="18.75" customHeight="1" hidden="1">
      <c r="A333" s="20"/>
      <c r="B333" s="51">
        <v>0</v>
      </c>
      <c r="C333" s="21" t="s">
        <v>102</v>
      </c>
      <c r="D333" s="35"/>
      <c r="E333" s="24"/>
      <c r="F333" s="64">
        <f t="shared" si="42"/>
      </c>
      <c r="G333" s="23">
        <v>3</v>
      </c>
      <c r="H333" s="30">
        <f t="shared" si="48"/>
        <v>0</v>
      </c>
      <c r="K333" s="5">
        <v>12</v>
      </c>
      <c r="L333" s="5">
        <f t="shared" si="49"/>
        <v>0</v>
      </c>
    </row>
    <row r="334" spans="1:12" ht="18.75" customHeight="1" hidden="1">
      <c r="A334" s="20"/>
      <c r="B334" s="51">
        <v>0</v>
      </c>
      <c r="C334" s="21" t="s">
        <v>113</v>
      </c>
      <c r="D334" s="35"/>
      <c r="E334" s="24"/>
      <c r="F334" s="64">
        <f t="shared" si="42"/>
      </c>
      <c r="G334" s="23">
        <v>3</v>
      </c>
      <c r="H334" s="30">
        <f t="shared" si="48"/>
        <v>0</v>
      </c>
      <c r="K334" s="5">
        <v>12</v>
      </c>
      <c r="L334" s="5">
        <f t="shared" si="49"/>
        <v>0</v>
      </c>
    </row>
    <row r="335" spans="1:12" ht="18.75" customHeight="1" hidden="1">
      <c r="A335" s="20"/>
      <c r="B335" s="51">
        <f>3-2-1</f>
        <v>0</v>
      </c>
      <c r="C335" s="21" t="s">
        <v>235</v>
      </c>
      <c r="D335" s="68" t="s">
        <v>219</v>
      </c>
      <c r="E335" s="24"/>
      <c r="F335" s="64">
        <f t="shared" si="42"/>
      </c>
      <c r="G335" s="23">
        <v>3</v>
      </c>
      <c r="H335" s="30">
        <f t="shared" si="48"/>
        <v>0</v>
      </c>
      <c r="K335" s="5">
        <v>12</v>
      </c>
      <c r="L335" s="5">
        <f t="shared" si="49"/>
        <v>0</v>
      </c>
    </row>
    <row r="336" spans="1:12" ht="18.75" customHeight="1" hidden="1">
      <c r="A336" s="20"/>
      <c r="B336" s="51">
        <f>6-1-2-2-1</f>
        <v>0</v>
      </c>
      <c r="C336" s="21" t="s">
        <v>197</v>
      </c>
      <c r="D336" s="35"/>
      <c r="E336" s="24"/>
      <c r="F336" s="64">
        <f t="shared" si="42"/>
      </c>
      <c r="G336" s="23">
        <v>3</v>
      </c>
      <c r="H336" s="30">
        <f t="shared" si="48"/>
        <v>0</v>
      </c>
      <c r="K336" s="5">
        <v>12</v>
      </c>
      <c r="L336" s="5">
        <f t="shared" si="49"/>
        <v>0</v>
      </c>
    </row>
    <row r="337" spans="1:12" ht="18.75" customHeight="1" hidden="1">
      <c r="A337" s="20"/>
      <c r="B337" s="51">
        <v>0</v>
      </c>
      <c r="C337" s="21" t="s">
        <v>153</v>
      </c>
      <c r="D337" s="35"/>
      <c r="E337" s="24"/>
      <c r="F337" s="64">
        <f t="shared" si="42"/>
      </c>
      <c r="G337" s="23">
        <v>3</v>
      </c>
      <c r="H337" s="30">
        <f t="shared" si="48"/>
        <v>0</v>
      </c>
      <c r="K337" s="5">
        <v>12</v>
      </c>
      <c r="L337" s="5">
        <f t="shared" si="49"/>
        <v>0</v>
      </c>
    </row>
    <row r="338" spans="1:12" ht="18.75" customHeight="1" hidden="1">
      <c r="A338" s="20"/>
      <c r="B338" s="51">
        <v>0</v>
      </c>
      <c r="C338" s="21" t="s">
        <v>114</v>
      </c>
      <c r="D338" s="35"/>
      <c r="E338" s="24"/>
      <c r="F338" s="64">
        <f t="shared" si="42"/>
      </c>
      <c r="G338" s="23">
        <v>3</v>
      </c>
      <c r="H338" s="30">
        <f t="shared" si="48"/>
        <v>0</v>
      </c>
      <c r="K338" s="5">
        <v>12</v>
      </c>
      <c r="L338" s="5">
        <f t="shared" si="49"/>
        <v>0</v>
      </c>
    </row>
    <row r="339" spans="1:12" ht="18.75" customHeight="1" hidden="1">
      <c r="A339" s="20"/>
      <c r="B339" s="51">
        <v>0</v>
      </c>
      <c r="C339" s="21" t="s">
        <v>154</v>
      </c>
      <c r="D339" s="35"/>
      <c r="E339" s="24"/>
      <c r="F339" s="64">
        <f t="shared" si="42"/>
      </c>
      <c r="G339" s="23">
        <v>3</v>
      </c>
      <c r="H339" s="30">
        <f t="shared" si="48"/>
        <v>0</v>
      </c>
      <c r="K339" s="5">
        <v>12</v>
      </c>
      <c r="L339" s="5">
        <f t="shared" si="49"/>
        <v>0</v>
      </c>
    </row>
    <row r="340" spans="1:12" ht="18.75" customHeight="1" hidden="1">
      <c r="A340" s="20"/>
      <c r="B340" s="51">
        <v>0</v>
      </c>
      <c r="C340" s="21" t="s">
        <v>81</v>
      </c>
      <c r="D340" s="35"/>
      <c r="E340" s="24"/>
      <c r="F340" s="64">
        <f t="shared" si="42"/>
      </c>
      <c r="G340" s="23">
        <v>3</v>
      </c>
      <c r="H340" s="30">
        <f t="shared" si="48"/>
        <v>0</v>
      </c>
      <c r="K340" s="5">
        <v>12</v>
      </c>
      <c r="L340" s="5">
        <f t="shared" si="49"/>
        <v>0</v>
      </c>
    </row>
    <row r="341" spans="1:12" ht="15" customHeight="1">
      <c r="A341" s="20"/>
      <c r="B341" s="51">
        <f>17-6+6-2-1-4</f>
        <v>10</v>
      </c>
      <c r="C341" s="21" t="s">
        <v>350</v>
      </c>
      <c r="D341" s="35"/>
      <c r="E341" s="24"/>
      <c r="F341" s="64">
        <f t="shared" si="42"/>
      </c>
      <c r="G341" s="23">
        <v>3.5</v>
      </c>
      <c r="H341" s="30">
        <f t="shared" si="48"/>
        <v>0</v>
      </c>
      <c r="K341" s="5">
        <v>12</v>
      </c>
      <c r="L341" s="5">
        <f t="shared" si="49"/>
        <v>0</v>
      </c>
    </row>
    <row r="342" spans="1:12" ht="15" customHeight="1" hidden="1">
      <c r="A342" s="20"/>
      <c r="B342" s="51">
        <v>0</v>
      </c>
      <c r="C342" s="21" t="s">
        <v>124</v>
      </c>
      <c r="D342" s="35"/>
      <c r="E342" s="24"/>
      <c r="F342" s="64">
        <f t="shared" si="42"/>
      </c>
      <c r="G342" s="23">
        <v>4</v>
      </c>
      <c r="H342" s="30">
        <f t="shared" si="48"/>
        <v>0</v>
      </c>
      <c r="K342" s="5">
        <v>12</v>
      </c>
      <c r="L342" s="5">
        <f t="shared" si="49"/>
        <v>0</v>
      </c>
    </row>
    <row r="343" spans="1:12" ht="15" customHeight="1" hidden="1">
      <c r="A343" s="20"/>
      <c r="B343" s="51">
        <f>2-1-1</f>
        <v>0</v>
      </c>
      <c r="C343" s="21" t="s">
        <v>235</v>
      </c>
      <c r="D343" s="68" t="s">
        <v>271</v>
      </c>
      <c r="E343" s="24"/>
      <c r="F343" s="64">
        <f t="shared" si="42"/>
      </c>
      <c r="G343" s="23">
        <v>3</v>
      </c>
      <c r="H343" s="30">
        <f t="shared" si="48"/>
        <v>0</v>
      </c>
      <c r="K343" s="5">
        <v>12</v>
      </c>
      <c r="L343" s="5">
        <f t="shared" si="49"/>
        <v>0</v>
      </c>
    </row>
    <row r="344" spans="1:12" ht="15" customHeight="1" hidden="1">
      <c r="A344" s="20"/>
      <c r="B344" s="51">
        <v>0</v>
      </c>
      <c r="C344" s="21" t="s">
        <v>96</v>
      </c>
      <c r="D344" s="35"/>
      <c r="E344" s="24"/>
      <c r="F344" s="64">
        <f t="shared" si="42"/>
      </c>
      <c r="G344" s="23">
        <v>3</v>
      </c>
      <c r="H344" s="30">
        <f t="shared" si="48"/>
        <v>0</v>
      </c>
      <c r="K344" s="5">
        <v>12</v>
      </c>
      <c r="L344" s="5">
        <f t="shared" si="49"/>
        <v>0</v>
      </c>
    </row>
    <row r="345" spans="1:12" ht="15" customHeight="1">
      <c r="A345" s="20"/>
      <c r="B345" s="51">
        <f>1-1+14-4-1-2-1</f>
        <v>6</v>
      </c>
      <c r="C345" s="21" t="s">
        <v>96</v>
      </c>
      <c r="D345" s="68" t="s">
        <v>219</v>
      </c>
      <c r="E345" s="24"/>
      <c r="F345" s="64">
        <f aca="true" t="shared" si="50" ref="F345:F354">IF(E345&gt;B345,"?","")</f>
      </c>
      <c r="G345" s="23">
        <v>3</v>
      </c>
      <c r="H345" s="30">
        <f t="shared" si="48"/>
        <v>0</v>
      </c>
      <c r="K345" s="5">
        <v>12</v>
      </c>
      <c r="L345" s="5">
        <f t="shared" si="49"/>
        <v>0</v>
      </c>
    </row>
    <row r="346" spans="1:12" ht="15" customHeight="1" hidden="1">
      <c r="A346" s="20"/>
      <c r="B346" s="51">
        <v>0</v>
      </c>
      <c r="C346" s="21" t="s">
        <v>97</v>
      </c>
      <c r="D346" s="35"/>
      <c r="E346" s="24"/>
      <c r="F346" s="64">
        <f t="shared" si="50"/>
      </c>
      <c r="G346" s="23">
        <v>3</v>
      </c>
      <c r="H346" s="30">
        <f t="shared" si="48"/>
        <v>0</v>
      </c>
      <c r="K346" s="5">
        <v>12</v>
      </c>
      <c r="L346" s="5">
        <f t="shared" si="49"/>
        <v>0</v>
      </c>
    </row>
    <row r="347" spans="1:12" ht="15" customHeight="1" hidden="1">
      <c r="A347" s="20"/>
      <c r="B347" s="51">
        <f>3-1-2</f>
        <v>0</v>
      </c>
      <c r="C347" s="21" t="s">
        <v>316</v>
      </c>
      <c r="D347" s="68"/>
      <c r="E347" s="24"/>
      <c r="F347" s="64">
        <f t="shared" si="50"/>
      </c>
      <c r="G347" s="23">
        <v>3</v>
      </c>
      <c r="H347" s="30">
        <f>MIN(IF(E347="",0,E347),B347)*G347</f>
        <v>0</v>
      </c>
      <c r="K347" s="5">
        <v>12</v>
      </c>
      <c r="L347" s="5">
        <f t="shared" si="49"/>
        <v>0</v>
      </c>
    </row>
    <row r="348" spans="1:12" ht="15" customHeight="1" hidden="1">
      <c r="A348" s="20"/>
      <c r="B348" s="51">
        <v>0</v>
      </c>
      <c r="C348" s="21" t="s">
        <v>184</v>
      </c>
      <c r="D348" s="35"/>
      <c r="E348" s="24"/>
      <c r="F348" s="64">
        <f t="shared" si="50"/>
      </c>
      <c r="G348" s="23">
        <v>3</v>
      </c>
      <c r="H348" s="30">
        <f t="shared" si="48"/>
        <v>0</v>
      </c>
      <c r="K348" s="5">
        <v>12</v>
      </c>
      <c r="L348" s="5">
        <f t="shared" si="49"/>
        <v>0</v>
      </c>
    </row>
    <row r="349" spans="1:12" ht="15" customHeight="1">
      <c r="A349" s="20"/>
      <c r="B349" s="51">
        <f>27-5-2-1-1</f>
        <v>18</v>
      </c>
      <c r="C349" s="21" t="s">
        <v>185</v>
      </c>
      <c r="D349" s="35"/>
      <c r="E349" s="24"/>
      <c r="F349" s="64">
        <f t="shared" si="50"/>
      </c>
      <c r="G349" s="23">
        <v>3</v>
      </c>
      <c r="H349" s="30">
        <f t="shared" si="48"/>
        <v>0</v>
      </c>
      <c r="K349" s="5">
        <v>12</v>
      </c>
      <c r="L349" s="5">
        <f t="shared" si="49"/>
        <v>0</v>
      </c>
    </row>
    <row r="350" spans="1:12" ht="15" customHeight="1">
      <c r="A350" s="20"/>
      <c r="B350" s="51">
        <f>16-5-1-1-1</f>
        <v>8</v>
      </c>
      <c r="C350" s="21" t="s">
        <v>186</v>
      </c>
      <c r="D350" s="35"/>
      <c r="E350" s="24"/>
      <c r="F350" s="64">
        <f t="shared" si="50"/>
      </c>
      <c r="G350" s="23">
        <v>3</v>
      </c>
      <c r="H350" s="30">
        <f t="shared" si="48"/>
        <v>0</v>
      </c>
      <c r="K350" s="5">
        <v>12</v>
      </c>
      <c r="L350" s="5">
        <f t="shared" si="49"/>
        <v>0</v>
      </c>
    </row>
    <row r="351" spans="1:12" ht="15" customHeight="1" hidden="1">
      <c r="A351" s="20"/>
      <c r="B351" s="51">
        <v>0</v>
      </c>
      <c r="C351" s="21" t="s">
        <v>85</v>
      </c>
      <c r="D351" s="35"/>
      <c r="E351" s="24"/>
      <c r="F351" s="64">
        <f t="shared" si="50"/>
      </c>
      <c r="G351" s="23">
        <v>3</v>
      </c>
      <c r="H351" s="30">
        <f t="shared" si="48"/>
        <v>0</v>
      </c>
      <c r="K351" s="5">
        <v>12</v>
      </c>
      <c r="L351" s="5">
        <f t="shared" si="49"/>
        <v>0</v>
      </c>
    </row>
    <row r="352" spans="1:12" ht="15" customHeight="1" hidden="1">
      <c r="A352" s="20"/>
      <c r="B352" s="51">
        <v>0</v>
      </c>
      <c r="C352" s="21" t="s">
        <v>86</v>
      </c>
      <c r="D352" s="35"/>
      <c r="E352" s="24"/>
      <c r="F352" s="64">
        <f t="shared" si="50"/>
      </c>
      <c r="G352" s="23">
        <v>3</v>
      </c>
      <c r="H352" s="30">
        <f t="shared" si="48"/>
        <v>0</v>
      </c>
      <c r="K352" s="5">
        <v>12</v>
      </c>
      <c r="L352" s="5">
        <f t="shared" si="49"/>
        <v>0</v>
      </c>
    </row>
    <row r="353" spans="1:12" ht="15" customHeight="1" hidden="1">
      <c r="A353" s="20"/>
      <c r="B353" s="51">
        <f>5-(3)-1-1</f>
        <v>0</v>
      </c>
      <c r="C353" s="21" t="s">
        <v>115</v>
      </c>
      <c r="D353" s="35"/>
      <c r="E353" s="24"/>
      <c r="F353" s="64">
        <f t="shared" si="50"/>
      </c>
      <c r="G353" s="23">
        <v>3</v>
      </c>
      <c r="H353" s="30">
        <f t="shared" si="48"/>
        <v>0</v>
      </c>
      <c r="K353" s="5">
        <v>12</v>
      </c>
      <c r="L353" s="5">
        <f t="shared" si="49"/>
        <v>0</v>
      </c>
    </row>
    <row r="354" spans="1:12" ht="15" customHeight="1" hidden="1">
      <c r="A354" s="20"/>
      <c r="B354" s="51">
        <f>6-1-2-1-2</f>
        <v>0</v>
      </c>
      <c r="C354" s="21" t="s">
        <v>349</v>
      </c>
      <c r="D354" s="35"/>
      <c r="E354" s="24"/>
      <c r="F354" s="64">
        <f t="shared" si="50"/>
      </c>
      <c r="G354" s="23">
        <v>2</v>
      </c>
      <c r="H354" s="30">
        <f t="shared" si="48"/>
        <v>0</v>
      </c>
      <c r="K354" s="5">
        <v>12</v>
      </c>
      <c r="L354" s="5">
        <f t="shared" si="49"/>
        <v>0</v>
      </c>
    </row>
    <row r="355" spans="1:8" ht="15" customHeight="1">
      <c r="A355" s="20"/>
      <c r="B355" s="45" t="s">
        <v>105</v>
      </c>
      <c r="C355" s="42"/>
      <c r="D355" s="20"/>
      <c r="E355" s="44"/>
      <c r="F355" s="64">
        <f aca="true" t="shared" si="51" ref="F355:F362">IF(E355&gt;B355,"?","")</f>
      </c>
      <c r="G355" s="23"/>
      <c r="H355" s="49"/>
    </row>
    <row r="356" spans="1:12" ht="15" customHeight="1" hidden="1">
      <c r="A356" s="20"/>
      <c r="B356" s="51">
        <f>1-1</f>
        <v>0</v>
      </c>
      <c r="C356" s="21" t="s">
        <v>330</v>
      </c>
      <c r="D356" s="35"/>
      <c r="E356" s="24"/>
      <c r="F356" s="64">
        <f t="shared" si="51"/>
      </c>
      <c r="G356" s="23">
        <v>5</v>
      </c>
      <c r="H356" s="30">
        <f>MIN(IF(E356="",0,E356),B356)*G356</f>
        <v>0</v>
      </c>
      <c r="K356" s="5">
        <v>5</v>
      </c>
      <c r="L356" s="5">
        <f t="shared" si="49"/>
        <v>0</v>
      </c>
    </row>
    <row r="357" spans="1:13" ht="15" customHeight="1" hidden="1">
      <c r="A357" s="20"/>
      <c r="B357" s="51">
        <f>3-1-2</f>
        <v>0</v>
      </c>
      <c r="C357" s="21" t="s">
        <v>353</v>
      </c>
      <c r="D357" s="35"/>
      <c r="E357" s="24"/>
      <c r="F357" s="64">
        <f t="shared" si="51"/>
      </c>
      <c r="G357" s="23">
        <v>3.5</v>
      </c>
      <c r="H357" s="30">
        <f>MIN(IF(E357="",0,E357),B357)*G357</f>
        <v>0</v>
      </c>
      <c r="K357" s="5">
        <v>6</v>
      </c>
      <c r="L357" s="5">
        <f t="shared" si="49"/>
        <v>0</v>
      </c>
      <c r="M357" s="5">
        <f>E357</f>
        <v>0</v>
      </c>
    </row>
    <row r="358" spans="1:13" ht="15" customHeight="1" hidden="1">
      <c r="A358" s="20"/>
      <c r="B358" s="51">
        <f>1-1</f>
        <v>0</v>
      </c>
      <c r="C358" s="21" t="s">
        <v>354</v>
      </c>
      <c r="D358" s="35"/>
      <c r="E358" s="24"/>
      <c r="F358" s="64">
        <f t="shared" si="51"/>
      </c>
      <c r="G358" s="23">
        <v>3.75</v>
      </c>
      <c r="H358" s="30">
        <f>MIN(IF(E358="",0,E358),B358)*G358</f>
        <v>0</v>
      </c>
      <c r="K358" s="5">
        <v>6</v>
      </c>
      <c r="L358" s="5">
        <f t="shared" si="49"/>
        <v>0</v>
      </c>
      <c r="M358" s="5">
        <f>E358</f>
        <v>0</v>
      </c>
    </row>
    <row r="359" spans="1:13" ht="15" customHeight="1" hidden="1">
      <c r="A359" s="20"/>
      <c r="B359" s="51">
        <f>9-(2)-2</f>
        <v>5</v>
      </c>
      <c r="C359" s="21" t="s">
        <v>329</v>
      </c>
      <c r="D359" s="35"/>
      <c r="E359" s="24"/>
      <c r="F359" s="64">
        <f t="shared" si="51"/>
      </c>
      <c r="G359" s="23">
        <v>2</v>
      </c>
      <c r="H359" s="30">
        <f t="shared" si="48"/>
        <v>0</v>
      </c>
      <c r="K359" s="5">
        <v>8</v>
      </c>
      <c r="L359" s="5">
        <f t="shared" si="49"/>
        <v>0</v>
      </c>
      <c r="M359" s="5">
        <f>E359/9</f>
        <v>0</v>
      </c>
    </row>
    <row r="360" spans="1:12" ht="15" customHeight="1" hidden="1">
      <c r="A360" s="20"/>
      <c r="B360" s="51">
        <f>13-2-1-5-5</f>
        <v>0</v>
      </c>
      <c r="C360" s="21" t="s">
        <v>252</v>
      </c>
      <c r="D360" s="35"/>
      <c r="E360" s="24"/>
      <c r="F360" s="64">
        <f t="shared" si="51"/>
      </c>
      <c r="G360" s="23">
        <v>2</v>
      </c>
      <c r="H360" s="30">
        <f aca="true" t="shared" si="52" ref="H360:H382">MIN(IF(E360="",0,E360),B360)*G360</f>
        <v>0</v>
      </c>
      <c r="K360" s="5">
        <v>18</v>
      </c>
      <c r="L360" s="5">
        <f t="shared" si="49"/>
        <v>0</v>
      </c>
    </row>
    <row r="361" spans="1:12" ht="15" customHeight="1" hidden="1">
      <c r="A361" s="20"/>
      <c r="B361" s="51">
        <f>3-3+26-2-3+25-2-2-8-1+10</f>
        <v>43</v>
      </c>
      <c r="C361" s="21" t="s">
        <v>253</v>
      </c>
      <c r="D361" s="35"/>
      <c r="E361" s="24"/>
      <c r="F361" s="64">
        <f t="shared" si="51"/>
      </c>
      <c r="G361" s="23">
        <v>2</v>
      </c>
      <c r="H361" s="30">
        <f t="shared" si="52"/>
        <v>0</v>
      </c>
      <c r="K361" s="5">
        <v>18</v>
      </c>
      <c r="L361" s="5">
        <f t="shared" si="49"/>
        <v>0</v>
      </c>
    </row>
    <row r="362" spans="1:12" ht="15" customHeight="1" hidden="1">
      <c r="A362" s="20"/>
      <c r="B362" s="51">
        <f>17-8-1-2-6+28-2-1-2-1</f>
        <v>22</v>
      </c>
      <c r="C362" s="21" t="s">
        <v>254</v>
      </c>
      <c r="D362" s="35"/>
      <c r="E362" s="24"/>
      <c r="F362" s="64">
        <f t="shared" si="51"/>
      </c>
      <c r="G362" s="23">
        <v>2</v>
      </c>
      <c r="H362" s="30">
        <f t="shared" si="52"/>
        <v>0</v>
      </c>
      <c r="K362" s="5">
        <v>18</v>
      </c>
      <c r="L362" s="5">
        <f t="shared" si="49"/>
        <v>0</v>
      </c>
    </row>
    <row r="363" spans="1:12" ht="15" customHeight="1" hidden="1">
      <c r="A363" s="20"/>
      <c r="B363" s="51">
        <v>0</v>
      </c>
      <c r="C363" s="21" t="s">
        <v>106</v>
      </c>
      <c r="D363" s="35"/>
      <c r="E363" s="24"/>
      <c r="F363" s="64">
        <f>IF(E363&gt;B363,"?","")</f>
      </c>
      <c r="G363" s="23">
        <v>2</v>
      </c>
      <c r="H363" s="30">
        <f t="shared" si="52"/>
        <v>0</v>
      </c>
      <c r="K363" s="5">
        <v>18</v>
      </c>
      <c r="L363" s="5">
        <f t="shared" si="49"/>
        <v>0</v>
      </c>
    </row>
    <row r="364" spans="1:13" ht="15" customHeight="1" hidden="1">
      <c r="A364" s="20"/>
      <c r="B364" s="51" t="s">
        <v>31</v>
      </c>
      <c r="C364" s="21" t="s">
        <v>147</v>
      </c>
      <c r="D364" s="35"/>
      <c r="E364" s="24"/>
      <c r="F364" s="64">
        <f>IF(E364&gt;B364,"?","")</f>
      </c>
      <c r="G364" s="23">
        <v>3</v>
      </c>
      <c r="H364" s="30">
        <f t="shared" si="52"/>
        <v>0</v>
      </c>
      <c r="K364" s="5">
        <v>10</v>
      </c>
      <c r="L364" s="5">
        <f t="shared" si="49"/>
        <v>0</v>
      </c>
      <c r="M364" s="5">
        <f>E364/5</f>
        <v>0</v>
      </c>
    </row>
    <row r="365" spans="1:13" ht="15" customHeight="1" hidden="1">
      <c r="A365" s="20"/>
      <c r="B365" s="51" t="s">
        <v>31</v>
      </c>
      <c r="C365" s="21" t="s">
        <v>315</v>
      </c>
      <c r="D365" s="35"/>
      <c r="E365" s="24"/>
      <c r="F365" s="64">
        <f aca="true" t="shared" si="53" ref="F365:F382">IF(E365&gt;B365,"?","")</f>
      </c>
      <c r="G365" s="23">
        <v>3.5</v>
      </c>
      <c r="H365" s="30">
        <f>MIN(IF(E365="",0,E365),B365)*G365</f>
        <v>0</v>
      </c>
      <c r="K365" s="5">
        <v>10</v>
      </c>
      <c r="L365" s="5">
        <f t="shared" si="49"/>
        <v>0</v>
      </c>
      <c r="M365" s="5">
        <f>E365/5</f>
        <v>0</v>
      </c>
    </row>
    <row r="366" spans="1:12" ht="15" customHeight="1" hidden="1">
      <c r="A366" s="20"/>
      <c r="B366" s="51">
        <f>3-2-1</f>
        <v>0</v>
      </c>
      <c r="C366" s="21" t="s">
        <v>317</v>
      </c>
      <c r="D366" s="35"/>
      <c r="E366" s="24"/>
      <c r="F366" s="64">
        <f t="shared" si="53"/>
      </c>
      <c r="G366" s="23">
        <v>3</v>
      </c>
      <c r="H366" s="30">
        <f>MIN(IF(E366="",0,E366),B366)*G366</f>
        <v>0</v>
      </c>
      <c r="K366" s="5">
        <v>10</v>
      </c>
      <c r="L366" s="5">
        <f t="shared" si="49"/>
        <v>0</v>
      </c>
    </row>
    <row r="367" spans="1:12" ht="15" customHeight="1" hidden="1">
      <c r="A367" s="20"/>
      <c r="B367" s="51">
        <f>5-5</f>
        <v>0</v>
      </c>
      <c r="C367" s="21" t="s">
        <v>270</v>
      </c>
      <c r="D367" s="35"/>
      <c r="E367" s="24"/>
      <c r="F367" s="64">
        <f t="shared" si="53"/>
      </c>
      <c r="G367" s="23">
        <v>3</v>
      </c>
      <c r="H367" s="30">
        <f t="shared" si="52"/>
        <v>0</v>
      </c>
      <c r="K367" s="5">
        <v>10</v>
      </c>
      <c r="L367" s="5">
        <f t="shared" si="49"/>
        <v>0</v>
      </c>
    </row>
    <row r="368" spans="1:12" ht="15" customHeight="1" hidden="1">
      <c r="A368" s="20"/>
      <c r="B368" s="51">
        <f>30-4-1-3-11-1-(4)-6+5-3</f>
        <v>2</v>
      </c>
      <c r="C368" s="21" t="s">
        <v>237</v>
      </c>
      <c r="D368" s="35"/>
      <c r="E368" s="24"/>
      <c r="F368" s="64">
        <f t="shared" si="53"/>
      </c>
      <c r="G368" s="23">
        <v>2</v>
      </c>
      <c r="H368" s="30">
        <f t="shared" si="52"/>
        <v>0</v>
      </c>
      <c r="K368" s="5">
        <v>12</v>
      </c>
      <c r="L368" s="5">
        <f t="shared" si="49"/>
        <v>0</v>
      </c>
    </row>
    <row r="369" spans="1:12" ht="15" customHeight="1">
      <c r="A369" s="20"/>
      <c r="B369" s="51">
        <f>1-1+24-2-3-2-4-1-1-1-1</f>
        <v>9</v>
      </c>
      <c r="C369" s="21" t="s">
        <v>335</v>
      </c>
      <c r="D369" s="35"/>
      <c r="E369" s="24"/>
      <c r="F369" s="64">
        <f t="shared" si="53"/>
      </c>
      <c r="G369" s="23">
        <v>3.5</v>
      </c>
      <c r="H369" s="30">
        <f t="shared" si="52"/>
        <v>0</v>
      </c>
      <c r="K369" s="5">
        <v>12</v>
      </c>
      <c r="L369" s="5">
        <f t="shared" si="49"/>
        <v>0</v>
      </c>
    </row>
    <row r="370" spans="1:12" ht="15" customHeight="1" hidden="1">
      <c r="A370" s="20"/>
      <c r="B370" s="51">
        <f>1-1+7-1-3-2-1</f>
        <v>0</v>
      </c>
      <c r="C370" s="21" t="s">
        <v>336</v>
      </c>
      <c r="D370" s="35"/>
      <c r="E370" s="24"/>
      <c r="F370" s="64">
        <f t="shared" si="53"/>
      </c>
      <c r="G370" s="23">
        <v>3.5</v>
      </c>
      <c r="H370" s="30">
        <f t="shared" si="52"/>
        <v>0</v>
      </c>
      <c r="K370" s="5">
        <v>12</v>
      </c>
      <c r="L370" s="5">
        <f t="shared" si="49"/>
        <v>0</v>
      </c>
    </row>
    <row r="371" spans="1:12" ht="15" customHeight="1" hidden="1">
      <c r="A371" s="20"/>
      <c r="B371" s="51">
        <f>2-2+2-2</f>
        <v>0</v>
      </c>
      <c r="C371" s="21" t="s">
        <v>337</v>
      </c>
      <c r="D371" s="35"/>
      <c r="E371" s="24"/>
      <c r="F371" s="64">
        <f t="shared" si="53"/>
      </c>
      <c r="G371" s="23">
        <v>3.5</v>
      </c>
      <c r="H371" s="30">
        <f t="shared" si="52"/>
        <v>0</v>
      </c>
      <c r="K371" s="5">
        <v>12</v>
      </c>
      <c r="L371" s="5">
        <f t="shared" si="49"/>
        <v>0</v>
      </c>
    </row>
    <row r="372" spans="1:12" ht="15" customHeight="1">
      <c r="A372" s="20"/>
      <c r="B372" s="51">
        <f>19-4-1-2-2-1-(2)-2-1-1</f>
        <v>3</v>
      </c>
      <c r="C372" s="21" t="s">
        <v>344</v>
      </c>
      <c r="D372" s="35"/>
      <c r="E372" s="24"/>
      <c r="F372" s="64">
        <f t="shared" si="53"/>
      </c>
      <c r="G372" s="23">
        <v>3.5</v>
      </c>
      <c r="H372" s="30">
        <f>MIN(IF(E372="",0,E372),B372)*G372</f>
        <v>0</v>
      </c>
      <c r="K372" s="5">
        <v>12</v>
      </c>
      <c r="L372" s="5">
        <f>E372/K372</f>
        <v>0</v>
      </c>
    </row>
    <row r="373" spans="1:12" ht="15" customHeight="1" hidden="1">
      <c r="A373" s="20"/>
      <c r="B373" s="51">
        <f>9-4-1-4</f>
        <v>0</v>
      </c>
      <c r="C373" s="21" t="s">
        <v>345</v>
      </c>
      <c r="D373" s="35"/>
      <c r="E373" s="24"/>
      <c r="F373" s="64">
        <f t="shared" si="53"/>
      </c>
      <c r="G373" s="23">
        <v>3.5</v>
      </c>
      <c r="H373" s="30">
        <f>MIN(IF(E373="",0,E373),B373)*G373</f>
        <v>0</v>
      </c>
      <c r="K373" s="5">
        <v>12</v>
      </c>
      <c r="L373" s="5">
        <f>E373/K373</f>
        <v>0</v>
      </c>
    </row>
    <row r="374" spans="1:12" ht="15" customHeight="1" hidden="1">
      <c r="A374" s="20"/>
      <c r="B374" s="51">
        <f>1-1+1-1</f>
        <v>0</v>
      </c>
      <c r="C374" s="21" t="s">
        <v>338</v>
      </c>
      <c r="D374" s="35"/>
      <c r="E374" s="24"/>
      <c r="F374" s="64">
        <f t="shared" si="53"/>
      </c>
      <c r="G374" s="23">
        <v>3.5</v>
      </c>
      <c r="H374" s="30">
        <f t="shared" si="52"/>
        <v>0</v>
      </c>
      <c r="K374" s="5">
        <v>12</v>
      </c>
      <c r="L374" s="5">
        <f t="shared" si="49"/>
        <v>0</v>
      </c>
    </row>
    <row r="375" spans="1:12" ht="15" customHeight="1">
      <c r="A375" s="20"/>
      <c r="B375" s="51">
        <f>30-7-2-1-2-3-1-2</f>
        <v>12</v>
      </c>
      <c r="C375" s="21" t="s">
        <v>342</v>
      </c>
      <c r="D375" s="35"/>
      <c r="E375" s="24"/>
      <c r="F375" s="64">
        <f t="shared" si="53"/>
      </c>
      <c r="G375" s="23">
        <v>3.5</v>
      </c>
      <c r="H375" s="30">
        <f>MIN(IF(E375="",0,E375),B375)*G375</f>
        <v>0</v>
      </c>
      <c r="K375" s="5">
        <v>12</v>
      </c>
      <c r="L375" s="5">
        <f>E375/K375</f>
        <v>0</v>
      </c>
    </row>
    <row r="376" spans="1:12" ht="15" customHeight="1" hidden="1">
      <c r="A376" s="20"/>
      <c r="B376" s="51">
        <f>8-1-1-2</f>
        <v>4</v>
      </c>
      <c r="C376" s="21" t="s">
        <v>343</v>
      </c>
      <c r="D376" s="35"/>
      <c r="E376" s="24"/>
      <c r="F376" s="64">
        <f t="shared" si="53"/>
      </c>
      <c r="G376" s="23">
        <v>3.5</v>
      </c>
      <c r="H376" s="30">
        <f>MIN(IF(E376="",0,E376),B376)*G376</f>
        <v>0</v>
      </c>
      <c r="K376" s="5">
        <v>12</v>
      </c>
      <c r="L376" s="5">
        <f>E376/K376</f>
        <v>0</v>
      </c>
    </row>
    <row r="377" spans="1:12" ht="15" customHeight="1" hidden="1">
      <c r="A377" s="20"/>
      <c r="B377" s="51">
        <f>1-1+3-1</f>
        <v>2</v>
      </c>
      <c r="C377" s="21" t="s">
        <v>339</v>
      </c>
      <c r="D377" s="35"/>
      <c r="E377" s="24"/>
      <c r="F377" s="64">
        <f t="shared" si="53"/>
      </c>
      <c r="G377" s="23">
        <v>3.5</v>
      </c>
      <c r="H377" s="30">
        <f t="shared" si="52"/>
        <v>0</v>
      </c>
      <c r="K377" s="5">
        <v>12</v>
      </c>
      <c r="L377" s="5">
        <f t="shared" si="49"/>
        <v>0</v>
      </c>
    </row>
    <row r="378" spans="1:12" ht="15" customHeight="1" hidden="1">
      <c r="A378" s="20"/>
      <c r="B378" s="51">
        <v>0</v>
      </c>
      <c r="C378" s="21" t="s">
        <v>223</v>
      </c>
      <c r="D378" s="35"/>
      <c r="E378" s="24"/>
      <c r="F378" s="64">
        <f t="shared" si="53"/>
      </c>
      <c r="G378" s="23">
        <v>3</v>
      </c>
      <c r="H378" s="30">
        <f t="shared" si="52"/>
        <v>0</v>
      </c>
      <c r="K378" s="5">
        <v>12</v>
      </c>
      <c r="L378" s="5">
        <f aca="true" t="shared" si="54" ref="L378:L394">E378/K378</f>
        <v>0</v>
      </c>
    </row>
    <row r="379" spans="1:12" ht="15" customHeight="1" hidden="1">
      <c r="A379" s="20"/>
      <c r="B379" s="51">
        <f>2-1-1</f>
        <v>0</v>
      </c>
      <c r="C379" s="21" t="s">
        <v>341</v>
      </c>
      <c r="D379" s="35"/>
      <c r="E379" s="24"/>
      <c r="F379" s="64">
        <f t="shared" si="53"/>
      </c>
      <c r="G379" s="23">
        <v>3</v>
      </c>
      <c r="H379" s="30">
        <f>MIN(IF(E379="",0,E379),B379)*G379</f>
        <v>0</v>
      </c>
      <c r="K379" s="5">
        <v>12</v>
      </c>
      <c r="L379" s="5">
        <f>E379/K379</f>
        <v>0</v>
      </c>
    </row>
    <row r="380" spans="1:13" ht="15" customHeight="1" hidden="1">
      <c r="A380" s="20"/>
      <c r="B380" s="51">
        <f>48-48</f>
        <v>0</v>
      </c>
      <c r="C380" s="21" t="s">
        <v>305</v>
      </c>
      <c r="D380" s="35"/>
      <c r="E380" s="24"/>
      <c r="F380" s="64">
        <f t="shared" si="53"/>
      </c>
      <c r="G380" s="23">
        <v>3</v>
      </c>
      <c r="H380" s="30">
        <f t="shared" si="52"/>
        <v>0</v>
      </c>
      <c r="K380" s="5">
        <v>6</v>
      </c>
      <c r="L380" s="5">
        <f>E380/K380</f>
        <v>0</v>
      </c>
      <c r="M380" s="5">
        <f>E380</f>
        <v>0</v>
      </c>
    </row>
    <row r="381" spans="1:13" ht="15" customHeight="1" hidden="1">
      <c r="A381" s="20"/>
      <c r="B381" s="51">
        <f>3-1-2</f>
        <v>0</v>
      </c>
      <c r="C381" s="21" t="s">
        <v>306</v>
      </c>
      <c r="D381" s="35"/>
      <c r="E381" s="24"/>
      <c r="F381" s="64">
        <f t="shared" si="53"/>
      </c>
      <c r="G381" s="23">
        <v>3</v>
      </c>
      <c r="H381" s="30">
        <f t="shared" si="52"/>
        <v>0</v>
      </c>
      <c r="K381" s="5">
        <v>6</v>
      </c>
      <c r="L381" s="5">
        <f>E381/K381</f>
        <v>0</v>
      </c>
      <c r="M381" s="5">
        <f>E381</f>
        <v>0</v>
      </c>
    </row>
    <row r="382" spans="1:13" ht="15" customHeight="1" hidden="1">
      <c r="A382" s="20"/>
      <c r="B382" s="51">
        <f>2-2</f>
        <v>0</v>
      </c>
      <c r="C382" s="21" t="s">
        <v>312</v>
      </c>
      <c r="D382" s="35"/>
      <c r="E382" s="24"/>
      <c r="F382" s="64">
        <f t="shared" si="53"/>
      </c>
      <c r="G382" s="23">
        <v>3</v>
      </c>
      <c r="H382" s="30">
        <f t="shared" si="52"/>
        <v>0</v>
      </c>
      <c r="K382" s="5">
        <v>6</v>
      </c>
      <c r="L382" s="5">
        <f>E382/K382</f>
        <v>0</v>
      </c>
      <c r="M382" s="5">
        <f>E382</f>
        <v>0</v>
      </c>
    </row>
    <row r="383" spans="1:13" ht="15" customHeight="1">
      <c r="A383" s="20"/>
      <c r="B383" s="51">
        <f>15-5+3-2-1-3-1+3-7-1+1+2-1</f>
        <v>3</v>
      </c>
      <c r="C383" s="21" t="s">
        <v>224</v>
      </c>
      <c r="D383" s="35"/>
      <c r="E383" s="24"/>
      <c r="F383" s="64">
        <f aca="true" t="shared" si="55" ref="F383:F415">IF(E383&gt;B383,"?","")</f>
      </c>
      <c r="G383" s="23">
        <v>2.75</v>
      </c>
      <c r="H383" s="30">
        <f aca="true" t="shared" si="56" ref="H383:H401">MIN(IF(E383="",0,E383),B383)*G383</f>
        <v>0</v>
      </c>
      <c r="K383" s="5">
        <v>6</v>
      </c>
      <c r="L383" s="5">
        <f t="shared" si="54"/>
        <v>0</v>
      </c>
      <c r="M383" s="5">
        <f>E383/4</f>
        <v>0</v>
      </c>
    </row>
    <row r="384" spans="1:13" ht="15" customHeight="1" hidden="1">
      <c r="A384" s="20"/>
      <c r="B384" s="51">
        <f>4-2-2</f>
        <v>0</v>
      </c>
      <c r="C384" s="21" t="s">
        <v>238</v>
      </c>
      <c r="D384" s="35"/>
      <c r="E384" s="24"/>
      <c r="F384" s="64">
        <f t="shared" si="55"/>
      </c>
      <c r="G384" s="23">
        <v>2.75</v>
      </c>
      <c r="H384" s="30">
        <f t="shared" si="56"/>
        <v>0</v>
      </c>
      <c r="K384" s="5">
        <v>6</v>
      </c>
      <c r="L384" s="5">
        <f t="shared" si="54"/>
        <v>0</v>
      </c>
      <c r="M384" s="5">
        <f aca="true" t="shared" si="57" ref="M384:M407">E384/4</f>
        <v>0</v>
      </c>
    </row>
    <row r="385" spans="1:13" ht="15" customHeight="1">
      <c r="A385" s="20"/>
      <c r="B385" s="51">
        <f>8-5-1-2+2+4-1</f>
        <v>5</v>
      </c>
      <c r="C385" s="21" t="s">
        <v>239</v>
      </c>
      <c r="D385" s="35"/>
      <c r="E385" s="24"/>
      <c r="F385" s="64">
        <f t="shared" si="55"/>
      </c>
      <c r="G385" s="23">
        <v>2.75</v>
      </c>
      <c r="H385" s="30">
        <f t="shared" si="56"/>
        <v>0</v>
      </c>
      <c r="K385" s="5">
        <v>6</v>
      </c>
      <c r="L385" s="5">
        <f t="shared" si="54"/>
        <v>0</v>
      </c>
      <c r="M385" s="5">
        <f t="shared" si="57"/>
        <v>0</v>
      </c>
    </row>
    <row r="386" spans="1:13" ht="15" customHeight="1" hidden="1">
      <c r="A386" s="20"/>
      <c r="B386" s="51">
        <f>4-4</f>
        <v>0</v>
      </c>
      <c r="C386" s="21" t="s">
        <v>225</v>
      </c>
      <c r="D386" s="35"/>
      <c r="E386" s="24"/>
      <c r="F386" s="64">
        <f t="shared" si="55"/>
      </c>
      <c r="G386" s="23">
        <v>2.75</v>
      </c>
      <c r="H386" s="30">
        <f t="shared" si="56"/>
        <v>0</v>
      </c>
      <c r="K386" s="5">
        <v>6</v>
      </c>
      <c r="L386" s="5">
        <f t="shared" si="54"/>
        <v>0</v>
      </c>
      <c r="M386" s="5">
        <f t="shared" si="57"/>
        <v>0</v>
      </c>
    </row>
    <row r="387" spans="1:13" ht="15" customHeight="1" hidden="1">
      <c r="A387" s="20"/>
      <c r="B387" s="51">
        <f>7-5-(1)-1</f>
        <v>0</v>
      </c>
      <c r="C387" s="21" t="s">
        <v>241</v>
      </c>
      <c r="D387" s="35"/>
      <c r="E387" s="24"/>
      <c r="F387" s="64">
        <f t="shared" si="55"/>
      </c>
      <c r="G387" s="23">
        <v>2.75</v>
      </c>
      <c r="H387" s="30">
        <f t="shared" si="56"/>
        <v>0</v>
      </c>
      <c r="K387" s="5">
        <v>6</v>
      </c>
      <c r="L387" s="5">
        <f t="shared" si="54"/>
        <v>0</v>
      </c>
      <c r="M387" s="5">
        <f t="shared" si="57"/>
        <v>0</v>
      </c>
    </row>
    <row r="388" spans="1:13" ht="15" customHeight="1" hidden="1">
      <c r="A388" s="20"/>
      <c r="B388" s="51">
        <f>7-1-(2)-1-2-(1)</f>
        <v>0</v>
      </c>
      <c r="C388" s="21" t="s">
        <v>226</v>
      </c>
      <c r="D388" s="35"/>
      <c r="E388" s="24"/>
      <c r="F388" s="64">
        <f t="shared" si="55"/>
      </c>
      <c r="G388" s="23">
        <v>2.75</v>
      </c>
      <c r="H388" s="30">
        <f t="shared" si="56"/>
        <v>0</v>
      </c>
      <c r="K388" s="5">
        <v>6</v>
      </c>
      <c r="L388" s="5">
        <f t="shared" si="54"/>
        <v>0</v>
      </c>
      <c r="M388" s="5">
        <f t="shared" si="57"/>
        <v>0</v>
      </c>
    </row>
    <row r="389" spans="1:13" ht="15" customHeight="1" hidden="1">
      <c r="A389" s="20"/>
      <c r="B389" s="51">
        <f>1-1</f>
        <v>0</v>
      </c>
      <c r="C389" s="21" t="s">
        <v>365</v>
      </c>
      <c r="D389" s="35"/>
      <c r="E389" s="24"/>
      <c r="F389" s="64">
        <f>IF(E389&gt;B389,"?","")</f>
      </c>
      <c r="G389" s="23">
        <v>2.75</v>
      </c>
      <c r="H389" s="30">
        <f>MIN(IF(E389="",0,E389),B389)*G389</f>
        <v>0</v>
      </c>
      <c r="K389" s="5">
        <v>6</v>
      </c>
      <c r="L389" s="5">
        <f>E389/K389</f>
        <v>0</v>
      </c>
      <c r="M389" s="5">
        <f>E389/4</f>
        <v>0</v>
      </c>
    </row>
    <row r="390" spans="1:13" ht="15" customHeight="1">
      <c r="A390" s="20"/>
      <c r="B390" s="51">
        <f>8-1</f>
        <v>7</v>
      </c>
      <c r="C390" s="21" t="s">
        <v>367</v>
      </c>
      <c r="D390" s="35"/>
      <c r="E390" s="24"/>
      <c r="F390" s="64">
        <f>IF(E390&gt;B390,"?","")</f>
      </c>
      <c r="G390" s="23">
        <v>2.75</v>
      </c>
      <c r="H390" s="30">
        <f>MIN(IF(E390="",0,E390),B390)*G390</f>
        <v>0</v>
      </c>
      <c r="K390" s="5">
        <v>6</v>
      </c>
      <c r="L390" s="5">
        <f>E390/K390</f>
        <v>0</v>
      </c>
      <c r="M390" s="5">
        <f>E390/4</f>
        <v>0</v>
      </c>
    </row>
    <row r="391" spans="1:13" ht="15" customHeight="1">
      <c r="A391" s="20"/>
      <c r="B391" s="51">
        <f>3-1</f>
        <v>2</v>
      </c>
      <c r="C391" s="21" t="s">
        <v>366</v>
      </c>
      <c r="D391" s="35"/>
      <c r="E391" s="24"/>
      <c r="F391" s="64">
        <f>IF(E391&gt;B391,"?","")</f>
      </c>
      <c r="G391" s="23">
        <v>2.75</v>
      </c>
      <c r="H391" s="30">
        <f>MIN(IF(E391="",0,E391),B391)*G391</f>
        <v>0</v>
      </c>
      <c r="K391" s="5">
        <v>6</v>
      </c>
      <c r="L391" s="5">
        <f>E391/K391</f>
        <v>0</v>
      </c>
      <c r="M391" s="5">
        <f>E391/4</f>
        <v>0</v>
      </c>
    </row>
    <row r="392" spans="1:13" ht="15" customHeight="1">
      <c r="A392" s="20"/>
      <c r="B392" s="51">
        <f>6</f>
        <v>6</v>
      </c>
      <c r="C392" s="21" t="s">
        <v>370</v>
      </c>
      <c r="D392" s="35"/>
      <c r="E392" s="24"/>
      <c r="F392" s="64">
        <f>IF(E392&gt;B392,"?","")</f>
      </c>
      <c r="G392" s="23">
        <v>2.75</v>
      </c>
      <c r="H392" s="30">
        <f>MIN(IF(E392="",0,E392),B392)*G392</f>
        <v>0</v>
      </c>
      <c r="K392" s="5">
        <v>6</v>
      </c>
      <c r="L392" s="5">
        <f>E392/K392</f>
        <v>0</v>
      </c>
      <c r="M392" s="5">
        <f>E392/4</f>
        <v>0</v>
      </c>
    </row>
    <row r="393" spans="1:13" ht="15" customHeight="1" hidden="1">
      <c r="A393" s="20"/>
      <c r="B393" s="51">
        <f>8-4-1-3+4-1-3+7-1-3-1-1-(1)</f>
        <v>0</v>
      </c>
      <c r="C393" s="21" t="s">
        <v>268</v>
      </c>
      <c r="D393" s="35"/>
      <c r="E393" s="24"/>
      <c r="F393" s="64">
        <f t="shared" si="55"/>
      </c>
      <c r="G393" s="23">
        <v>2.75</v>
      </c>
      <c r="H393" s="30">
        <f t="shared" si="56"/>
        <v>0</v>
      </c>
      <c r="K393" s="5">
        <v>6</v>
      </c>
      <c r="L393" s="5">
        <f>E393/K393</f>
        <v>0</v>
      </c>
      <c r="M393" s="5">
        <f t="shared" si="57"/>
        <v>0</v>
      </c>
    </row>
    <row r="394" spans="1:13" ht="15" customHeight="1">
      <c r="A394" s="20"/>
      <c r="B394" s="51">
        <f>9-1-1-1-1</f>
        <v>5</v>
      </c>
      <c r="C394" s="21" t="s">
        <v>262</v>
      </c>
      <c r="D394" s="35"/>
      <c r="E394" s="24"/>
      <c r="F394" s="64">
        <f t="shared" si="55"/>
      </c>
      <c r="G394" s="23">
        <v>2.75</v>
      </c>
      <c r="H394" s="30">
        <f t="shared" si="56"/>
        <v>0</v>
      </c>
      <c r="K394" s="5">
        <v>6</v>
      </c>
      <c r="L394" s="5">
        <f t="shared" si="54"/>
        <v>0</v>
      </c>
      <c r="M394" s="5">
        <f t="shared" si="57"/>
        <v>0</v>
      </c>
    </row>
    <row r="395" spans="1:13" ht="15" customHeight="1" hidden="1">
      <c r="A395" s="20"/>
      <c r="B395" s="51">
        <f>1-1</f>
        <v>0</v>
      </c>
      <c r="C395" s="21" t="s">
        <v>260</v>
      </c>
      <c r="D395" s="35"/>
      <c r="E395" s="24"/>
      <c r="F395" s="64">
        <f t="shared" si="55"/>
      </c>
      <c r="G395" s="23">
        <v>2.75</v>
      </c>
      <c r="H395" s="30">
        <f t="shared" si="56"/>
        <v>0</v>
      </c>
      <c r="K395" s="5">
        <v>6</v>
      </c>
      <c r="L395" s="5">
        <f aca="true" t="shared" si="58" ref="L395:L401">E395/K395</f>
        <v>0</v>
      </c>
      <c r="M395" s="5">
        <f t="shared" si="57"/>
        <v>0</v>
      </c>
    </row>
    <row r="396" spans="1:13" ht="15" customHeight="1">
      <c r="A396" s="20"/>
      <c r="B396" s="51">
        <f>1-1+4-1-1</f>
        <v>2</v>
      </c>
      <c r="C396" s="21" t="s">
        <v>261</v>
      </c>
      <c r="D396" s="35"/>
      <c r="E396" s="24"/>
      <c r="F396" s="64">
        <f t="shared" si="55"/>
      </c>
      <c r="G396" s="23">
        <v>2.75</v>
      </c>
      <c r="H396" s="30">
        <f t="shared" si="56"/>
        <v>0</v>
      </c>
      <c r="K396" s="5">
        <v>6</v>
      </c>
      <c r="L396" s="5">
        <f t="shared" si="58"/>
        <v>0</v>
      </c>
      <c r="M396" s="5">
        <f t="shared" si="57"/>
        <v>0</v>
      </c>
    </row>
    <row r="397" spans="1:13" ht="15" customHeight="1">
      <c r="A397" s="20"/>
      <c r="B397" s="51">
        <f>2-2+5+3-1</f>
        <v>7</v>
      </c>
      <c r="C397" s="21" t="s">
        <v>256</v>
      </c>
      <c r="D397" s="35"/>
      <c r="E397" s="24"/>
      <c r="F397" s="64">
        <f t="shared" si="55"/>
      </c>
      <c r="G397" s="23">
        <v>2.75</v>
      </c>
      <c r="H397" s="30">
        <f t="shared" si="56"/>
        <v>0</v>
      </c>
      <c r="K397" s="5">
        <v>6</v>
      </c>
      <c r="L397" s="5">
        <f t="shared" si="58"/>
        <v>0</v>
      </c>
      <c r="M397" s="5">
        <f t="shared" si="57"/>
        <v>0</v>
      </c>
    </row>
    <row r="398" spans="1:13" ht="15" customHeight="1">
      <c r="A398" s="20"/>
      <c r="B398" s="51">
        <f>3-2</f>
        <v>1</v>
      </c>
      <c r="C398" s="21" t="s">
        <v>346</v>
      </c>
      <c r="D398" s="35"/>
      <c r="E398" s="24"/>
      <c r="F398" s="64">
        <f t="shared" si="55"/>
      </c>
      <c r="G398" s="23">
        <v>2.75</v>
      </c>
      <c r="H398" s="30">
        <f t="shared" si="56"/>
        <v>0</v>
      </c>
      <c r="K398" s="5">
        <v>6</v>
      </c>
      <c r="L398" s="5">
        <f>E398/K398</f>
        <v>0</v>
      </c>
      <c r="M398" s="5">
        <f t="shared" si="57"/>
        <v>0</v>
      </c>
    </row>
    <row r="399" spans="1:13" ht="15" customHeight="1" hidden="1">
      <c r="A399" s="20"/>
      <c r="B399" s="51">
        <f>1-1</f>
        <v>0</v>
      </c>
      <c r="C399" s="21" t="s">
        <v>347</v>
      </c>
      <c r="D399" s="35"/>
      <c r="E399" s="24"/>
      <c r="F399" s="64">
        <f t="shared" si="55"/>
      </c>
      <c r="G399" s="23">
        <v>2.75</v>
      </c>
      <c r="H399" s="30">
        <f t="shared" si="56"/>
        <v>0</v>
      </c>
      <c r="K399" s="5">
        <v>6</v>
      </c>
      <c r="L399" s="5">
        <f>E399/K399</f>
        <v>0</v>
      </c>
      <c r="M399" s="5">
        <f t="shared" si="57"/>
        <v>0</v>
      </c>
    </row>
    <row r="400" spans="1:13" ht="15" customHeight="1" hidden="1">
      <c r="A400" s="20"/>
      <c r="B400" s="51">
        <f>48-1-2-12-(20)-1-4-(3)-2-1-2</f>
        <v>0</v>
      </c>
      <c r="C400" s="21" t="s">
        <v>160</v>
      </c>
      <c r="D400" s="35"/>
      <c r="E400" s="24"/>
      <c r="F400" s="64">
        <f t="shared" si="55"/>
      </c>
      <c r="G400" s="23">
        <v>2.75</v>
      </c>
      <c r="H400" s="30">
        <f t="shared" si="56"/>
        <v>0</v>
      </c>
      <c r="K400" s="5">
        <v>6</v>
      </c>
      <c r="L400" s="5">
        <f t="shared" si="58"/>
        <v>0</v>
      </c>
      <c r="M400" s="5">
        <f t="shared" si="57"/>
        <v>0</v>
      </c>
    </row>
    <row r="401" spans="1:13" ht="15" customHeight="1" hidden="1">
      <c r="A401" s="20"/>
      <c r="B401" s="51">
        <v>0</v>
      </c>
      <c r="C401" s="21" t="s">
        <v>222</v>
      </c>
      <c r="D401" s="35"/>
      <c r="E401" s="24"/>
      <c r="F401" s="64">
        <f t="shared" si="55"/>
      </c>
      <c r="G401" s="23">
        <v>3</v>
      </c>
      <c r="H401" s="30">
        <f t="shared" si="56"/>
        <v>0</v>
      </c>
      <c r="K401" s="5">
        <v>6</v>
      </c>
      <c r="L401" s="5">
        <f t="shared" si="58"/>
        <v>0</v>
      </c>
      <c r="M401" s="5">
        <f t="shared" si="57"/>
        <v>0</v>
      </c>
    </row>
    <row r="402" spans="1:22" ht="15" customHeight="1" hidden="1">
      <c r="A402" s="20"/>
      <c r="B402" s="51">
        <v>0</v>
      </c>
      <c r="C402" s="21" t="s">
        <v>151</v>
      </c>
      <c r="D402" s="35"/>
      <c r="E402" s="24"/>
      <c r="F402" s="64">
        <f t="shared" si="55"/>
      </c>
      <c r="G402" s="23">
        <v>2.5</v>
      </c>
      <c r="H402" s="30">
        <f aca="true" t="shared" si="59" ref="H402:H422">MIN(IF(E402="",0,E402),B402)*G402</f>
        <v>0</v>
      </c>
      <c r="K402" s="5">
        <v>12</v>
      </c>
      <c r="L402" s="5">
        <f aca="true" t="shared" si="60" ref="L402:L411">E402/K402</f>
        <v>0</v>
      </c>
      <c r="M402" s="5">
        <f t="shared" si="57"/>
        <v>0</v>
      </c>
      <c r="V402" s="34"/>
    </row>
    <row r="403" spans="1:22" ht="15" customHeight="1" hidden="1">
      <c r="A403" s="20"/>
      <c r="B403" s="51">
        <v>0</v>
      </c>
      <c r="C403" s="21" t="s">
        <v>125</v>
      </c>
      <c r="D403" s="35"/>
      <c r="E403" s="24"/>
      <c r="F403" s="64">
        <f t="shared" si="55"/>
      </c>
      <c r="G403" s="23">
        <v>7.5</v>
      </c>
      <c r="H403" s="30">
        <f t="shared" si="59"/>
        <v>0</v>
      </c>
      <c r="K403" s="5">
        <v>1</v>
      </c>
      <c r="L403" s="5">
        <f t="shared" si="60"/>
        <v>0</v>
      </c>
      <c r="M403" s="5">
        <f t="shared" si="57"/>
        <v>0</v>
      </c>
      <c r="V403" s="67"/>
    </row>
    <row r="404" spans="1:22" ht="15" customHeight="1" hidden="1">
      <c r="A404" s="20"/>
      <c r="B404" s="51">
        <v>0</v>
      </c>
      <c r="C404" s="21" t="s">
        <v>146</v>
      </c>
      <c r="D404" s="35"/>
      <c r="E404" s="24"/>
      <c r="F404" s="64">
        <f t="shared" si="55"/>
      </c>
      <c r="G404" s="23">
        <v>2.5</v>
      </c>
      <c r="H404" s="30">
        <f t="shared" si="59"/>
        <v>0</v>
      </c>
      <c r="K404" s="5">
        <v>6</v>
      </c>
      <c r="L404" s="5">
        <f t="shared" si="60"/>
        <v>0</v>
      </c>
      <c r="M404" s="5">
        <f t="shared" si="57"/>
        <v>0</v>
      </c>
      <c r="V404" s="34"/>
    </row>
    <row r="405" spans="1:22" ht="15" customHeight="1" hidden="1">
      <c r="A405" s="20"/>
      <c r="B405" s="51">
        <v>0</v>
      </c>
      <c r="C405" s="21" t="s">
        <v>148</v>
      </c>
      <c r="D405" s="35"/>
      <c r="E405" s="24"/>
      <c r="F405" s="64">
        <f t="shared" si="55"/>
      </c>
      <c r="G405" s="23">
        <v>3</v>
      </c>
      <c r="H405" s="30">
        <f t="shared" si="59"/>
        <v>0</v>
      </c>
      <c r="K405" s="5">
        <v>6</v>
      </c>
      <c r="L405" s="5">
        <f t="shared" si="60"/>
        <v>0</v>
      </c>
      <c r="M405" s="5">
        <f t="shared" si="57"/>
        <v>0</v>
      </c>
      <c r="V405" s="34"/>
    </row>
    <row r="406" spans="1:22" ht="15" customHeight="1" hidden="1">
      <c r="A406" s="20"/>
      <c r="B406" s="51">
        <v>0</v>
      </c>
      <c r="C406" s="21" t="s">
        <v>149</v>
      </c>
      <c r="D406" s="35"/>
      <c r="E406" s="24"/>
      <c r="F406" s="64">
        <f t="shared" si="55"/>
      </c>
      <c r="G406" s="23">
        <v>3</v>
      </c>
      <c r="H406" s="30">
        <f t="shared" si="59"/>
        <v>0</v>
      </c>
      <c r="K406" s="5">
        <v>6</v>
      </c>
      <c r="L406" s="5">
        <f t="shared" si="60"/>
        <v>0</v>
      </c>
      <c r="M406" s="5">
        <f t="shared" si="57"/>
        <v>0</v>
      </c>
      <c r="V406" s="34"/>
    </row>
    <row r="407" spans="1:22" ht="15" customHeight="1" hidden="1">
      <c r="A407" s="20"/>
      <c r="B407" s="51">
        <v>0</v>
      </c>
      <c r="C407" s="21" t="s">
        <v>150</v>
      </c>
      <c r="D407" s="35"/>
      <c r="E407" s="24"/>
      <c r="F407" s="64">
        <f t="shared" si="55"/>
      </c>
      <c r="G407" s="23">
        <v>3.5</v>
      </c>
      <c r="H407" s="30">
        <f t="shared" si="59"/>
        <v>0</v>
      </c>
      <c r="K407" s="5">
        <v>6</v>
      </c>
      <c r="L407" s="5">
        <f t="shared" si="60"/>
        <v>0</v>
      </c>
      <c r="M407" s="5">
        <f t="shared" si="57"/>
        <v>0</v>
      </c>
      <c r="V407" s="34"/>
    </row>
    <row r="408" spans="1:22" ht="15" customHeight="1" hidden="1">
      <c r="A408" s="20"/>
      <c r="B408" s="51">
        <f>9-4-(3)-1-(1)</f>
        <v>0</v>
      </c>
      <c r="C408" s="21" t="s">
        <v>192</v>
      </c>
      <c r="D408" s="35"/>
      <c r="E408" s="24"/>
      <c r="F408" s="64">
        <f t="shared" si="55"/>
      </c>
      <c r="G408" s="23">
        <v>2</v>
      </c>
      <c r="H408" s="30">
        <f t="shared" si="59"/>
        <v>0</v>
      </c>
      <c r="K408" s="5">
        <v>12</v>
      </c>
      <c r="L408" s="5">
        <f t="shared" si="60"/>
        <v>0</v>
      </c>
      <c r="V408" s="34"/>
    </row>
    <row r="409" spans="1:22" ht="15" customHeight="1" hidden="1">
      <c r="A409" s="20"/>
      <c r="B409" s="51">
        <f>15-3-2-2-5-3</f>
        <v>0</v>
      </c>
      <c r="C409" s="21" t="s">
        <v>331</v>
      </c>
      <c r="D409" s="35"/>
      <c r="E409" s="24"/>
      <c r="F409" s="64">
        <f t="shared" si="55"/>
      </c>
      <c r="G409" s="23">
        <v>2</v>
      </c>
      <c r="H409" s="30">
        <f t="shared" si="59"/>
        <v>0</v>
      </c>
      <c r="K409" s="5">
        <v>12</v>
      </c>
      <c r="L409" s="5">
        <f t="shared" si="60"/>
        <v>0</v>
      </c>
      <c r="M409" s="5">
        <f>E409</f>
        <v>0</v>
      </c>
      <c r="V409" s="34"/>
    </row>
    <row r="410" spans="1:22" ht="15" customHeight="1" hidden="1">
      <c r="A410" s="20"/>
      <c r="B410" s="51">
        <f>19-1-3-1-3-2-(7)-2</f>
        <v>0</v>
      </c>
      <c r="C410" s="21" t="s">
        <v>134</v>
      </c>
      <c r="D410" s="35"/>
      <c r="E410" s="24"/>
      <c r="F410" s="64">
        <f t="shared" si="55"/>
      </c>
      <c r="G410" s="23">
        <v>3.5</v>
      </c>
      <c r="H410" s="30">
        <f t="shared" si="59"/>
        <v>0</v>
      </c>
      <c r="K410" s="5">
        <v>6</v>
      </c>
      <c r="L410" s="5">
        <f t="shared" si="60"/>
        <v>0</v>
      </c>
      <c r="M410" s="5">
        <f>E410/12</f>
        <v>0</v>
      </c>
      <c r="V410" s="34"/>
    </row>
    <row r="411" spans="1:13" ht="15" customHeight="1">
      <c r="A411" s="20"/>
      <c r="B411" s="51" t="s">
        <v>31</v>
      </c>
      <c r="C411" s="21" t="s">
        <v>333</v>
      </c>
      <c r="D411" s="35"/>
      <c r="E411" s="24"/>
      <c r="F411" s="64">
        <f t="shared" si="55"/>
      </c>
      <c r="G411" s="23">
        <v>3.5</v>
      </c>
      <c r="H411" s="30">
        <f>MIN(IF(E411="",0,E411),B411)*G411</f>
        <v>0</v>
      </c>
      <c r="K411" s="5">
        <v>6</v>
      </c>
      <c r="L411" s="5">
        <f t="shared" si="60"/>
        <v>0</v>
      </c>
      <c r="M411" s="5">
        <f aca="true" t="shared" si="61" ref="M411:M419">E411/12</f>
        <v>0</v>
      </c>
    </row>
    <row r="412" spans="1:13" ht="15" customHeight="1">
      <c r="A412" s="20"/>
      <c r="B412" s="51" t="s">
        <v>31</v>
      </c>
      <c r="C412" s="21" t="s">
        <v>200</v>
      </c>
      <c r="D412" s="35"/>
      <c r="E412" s="24"/>
      <c r="F412" s="64">
        <f t="shared" si="55"/>
      </c>
      <c r="G412" s="23">
        <v>2.5</v>
      </c>
      <c r="H412" s="30">
        <f t="shared" si="59"/>
        <v>0</v>
      </c>
      <c r="K412" s="5">
        <v>6</v>
      </c>
      <c r="L412" s="5">
        <f aca="true" t="shared" si="62" ref="L412:L422">E412/K412</f>
        <v>0</v>
      </c>
      <c r="M412" s="5">
        <f t="shared" si="61"/>
        <v>0</v>
      </c>
    </row>
    <row r="413" spans="1:13" ht="15" customHeight="1">
      <c r="A413" s="20"/>
      <c r="B413" s="51">
        <f>1-1+10-1-1</f>
        <v>8</v>
      </c>
      <c r="C413" s="21" t="s">
        <v>181</v>
      </c>
      <c r="D413" s="35"/>
      <c r="E413" s="24"/>
      <c r="F413" s="64">
        <f t="shared" si="55"/>
      </c>
      <c r="G413" s="23">
        <v>4</v>
      </c>
      <c r="H413" s="30">
        <f t="shared" si="59"/>
        <v>0</v>
      </c>
      <c r="K413" s="5">
        <v>6</v>
      </c>
      <c r="L413" s="5">
        <f t="shared" si="62"/>
        <v>0</v>
      </c>
      <c r="M413" s="5">
        <f t="shared" si="61"/>
        <v>0</v>
      </c>
    </row>
    <row r="414" spans="1:13" ht="15" customHeight="1">
      <c r="A414" s="20"/>
      <c r="B414" s="51">
        <f>8-1-2+2</f>
        <v>7</v>
      </c>
      <c r="C414" s="21" t="s">
        <v>182</v>
      </c>
      <c r="D414" s="35"/>
      <c r="E414" s="24"/>
      <c r="F414" s="64">
        <f t="shared" si="55"/>
      </c>
      <c r="G414" s="23">
        <v>3.5</v>
      </c>
      <c r="H414" s="30">
        <f t="shared" si="59"/>
        <v>0</v>
      </c>
      <c r="K414" s="5">
        <v>6</v>
      </c>
      <c r="L414" s="5">
        <f t="shared" si="62"/>
        <v>0</v>
      </c>
      <c r="M414" s="5">
        <f t="shared" si="61"/>
        <v>0</v>
      </c>
    </row>
    <row r="415" spans="1:13" ht="15" customHeight="1">
      <c r="A415" s="20"/>
      <c r="B415" s="51" t="s">
        <v>31</v>
      </c>
      <c r="C415" s="21" t="s">
        <v>183</v>
      </c>
      <c r="D415" s="35"/>
      <c r="E415" s="24"/>
      <c r="F415" s="64">
        <f t="shared" si="55"/>
      </c>
      <c r="G415" s="23">
        <v>2</v>
      </c>
      <c r="H415" s="30">
        <f t="shared" si="59"/>
        <v>0</v>
      </c>
      <c r="K415" s="5">
        <v>6</v>
      </c>
      <c r="L415" s="5">
        <f t="shared" si="62"/>
        <v>0</v>
      </c>
      <c r="M415" s="5">
        <f t="shared" si="61"/>
        <v>0</v>
      </c>
    </row>
    <row r="416" spans="1:13" ht="15" customHeight="1" hidden="1">
      <c r="A416" s="20"/>
      <c r="B416" s="51">
        <f>2-1-1</f>
        <v>0</v>
      </c>
      <c r="C416" s="21" t="s">
        <v>275</v>
      </c>
      <c r="D416" s="35"/>
      <c r="E416" s="24"/>
      <c r="F416" s="64"/>
      <c r="G416" s="23">
        <v>3</v>
      </c>
      <c r="H416" s="30">
        <f t="shared" si="59"/>
        <v>0</v>
      </c>
      <c r="K416" s="5">
        <v>6</v>
      </c>
      <c r="L416" s="5">
        <f>E416/K416</f>
        <v>0</v>
      </c>
      <c r="M416" s="5">
        <f t="shared" si="61"/>
        <v>0</v>
      </c>
    </row>
    <row r="417" spans="1:13" ht="15" customHeight="1" hidden="1">
      <c r="A417" s="20"/>
      <c r="B417" s="51">
        <f>3-3</f>
        <v>0</v>
      </c>
      <c r="C417" s="21" t="s">
        <v>217</v>
      </c>
      <c r="D417" s="35"/>
      <c r="E417" s="24"/>
      <c r="F417" s="64"/>
      <c r="G417" s="23">
        <v>3</v>
      </c>
      <c r="H417" s="30">
        <f t="shared" si="59"/>
        <v>0</v>
      </c>
      <c r="K417" s="5">
        <v>6</v>
      </c>
      <c r="L417" s="5">
        <f t="shared" si="62"/>
        <v>0</v>
      </c>
      <c r="M417" s="5">
        <f t="shared" si="61"/>
        <v>0</v>
      </c>
    </row>
    <row r="418" spans="1:13" ht="15" customHeight="1" hidden="1">
      <c r="A418" s="20"/>
      <c r="B418" s="51">
        <f>1-1</f>
        <v>0</v>
      </c>
      <c r="C418" s="21" t="s">
        <v>298</v>
      </c>
      <c r="D418" s="35"/>
      <c r="E418" s="24"/>
      <c r="F418" s="64"/>
      <c r="G418" s="23">
        <v>3</v>
      </c>
      <c r="H418" s="30">
        <f>MIN(IF(E418="",0,E418),B418)*G418</f>
        <v>0</v>
      </c>
      <c r="K418" s="5">
        <v>6</v>
      </c>
      <c r="L418" s="5">
        <f>E418/K418</f>
        <v>0</v>
      </c>
      <c r="M418" s="5">
        <f t="shared" si="61"/>
        <v>0</v>
      </c>
    </row>
    <row r="419" spans="1:13" ht="15" customHeight="1" hidden="1">
      <c r="A419" s="20"/>
      <c r="B419" s="51">
        <f>6-5-1</f>
        <v>0</v>
      </c>
      <c r="C419" s="21" t="s">
        <v>299</v>
      </c>
      <c r="D419" s="35"/>
      <c r="E419" s="24"/>
      <c r="F419" s="64"/>
      <c r="G419" s="23">
        <v>3</v>
      </c>
      <c r="H419" s="30">
        <f>MIN(IF(E419="",0,E419),B419)*G419</f>
        <v>0</v>
      </c>
      <c r="K419" s="5">
        <v>6</v>
      </c>
      <c r="L419" s="5">
        <f>E419/K419</f>
        <v>0</v>
      </c>
      <c r="M419" s="5">
        <f t="shared" si="61"/>
        <v>0</v>
      </c>
    </row>
    <row r="420" spans="1:13" ht="15" customHeight="1">
      <c r="A420" s="20"/>
      <c r="B420" s="51" t="s">
        <v>31</v>
      </c>
      <c r="C420" s="21" t="s">
        <v>300</v>
      </c>
      <c r="D420" s="35"/>
      <c r="E420" s="24"/>
      <c r="F420" s="64"/>
      <c r="G420" s="23">
        <v>3</v>
      </c>
      <c r="H420" s="30">
        <f>MIN(IF(E420="",0,E420),B420)*G420</f>
        <v>0</v>
      </c>
      <c r="K420" s="5">
        <v>6</v>
      </c>
      <c r="L420" s="5">
        <f>E420/K420</f>
        <v>0</v>
      </c>
      <c r="M420" s="5">
        <f>E420/5</f>
        <v>0</v>
      </c>
    </row>
    <row r="421" spans="1:12" ht="15" customHeight="1" hidden="1">
      <c r="A421" s="20"/>
      <c r="B421" s="51">
        <v>0</v>
      </c>
      <c r="C421" s="21" t="s">
        <v>218</v>
      </c>
      <c r="D421" s="35"/>
      <c r="E421" s="24"/>
      <c r="F421" s="64"/>
      <c r="G421" s="23">
        <v>3</v>
      </c>
      <c r="H421" s="30">
        <f t="shared" si="59"/>
        <v>0</v>
      </c>
      <c r="K421" s="5">
        <v>6</v>
      </c>
      <c r="L421" s="5">
        <f t="shared" si="62"/>
        <v>0</v>
      </c>
    </row>
    <row r="422" spans="1:12" ht="15" customHeight="1" hidden="1">
      <c r="A422" s="20"/>
      <c r="B422" s="51">
        <v>0</v>
      </c>
      <c r="C422" s="21" t="s">
        <v>257</v>
      </c>
      <c r="D422" s="35"/>
      <c r="E422" s="24"/>
      <c r="F422" s="64">
        <f aca="true" t="shared" si="63" ref="F422:F427">IF(E422&gt;B422,"?","")</f>
      </c>
      <c r="G422" s="23">
        <v>5</v>
      </c>
      <c r="H422" s="30">
        <f t="shared" si="59"/>
        <v>0</v>
      </c>
      <c r="K422" s="5">
        <v>6</v>
      </c>
      <c r="L422" s="5">
        <f t="shared" si="62"/>
        <v>0</v>
      </c>
    </row>
    <row r="423" spans="1:13" ht="15" customHeight="1">
      <c r="A423" s="20"/>
      <c r="B423" s="51">
        <f>14-4-2-3</f>
        <v>5</v>
      </c>
      <c r="C423" s="21" t="s">
        <v>258</v>
      </c>
      <c r="D423" s="35"/>
      <c r="E423" s="24"/>
      <c r="F423" s="64"/>
      <c r="G423" s="23">
        <v>4</v>
      </c>
      <c r="H423" s="30">
        <f aca="true" t="shared" si="64" ref="H423:H435">MIN(IF(E423="",0,E423),B423)*G423</f>
        <v>0</v>
      </c>
      <c r="K423" s="5">
        <v>6</v>
      </c>
      <c r="L423" s="5">
        <f aca="true" t="shared" si="65" ref="L423:L435">E423/K423</f>
        <v>0</v>
      </c>
      <c r="M423" s="5">
        <f>E423/12</f>
        <v>0</v>
      </c>
    </row>
    <row r="424" spans="1:13" ht="15" customHeight="1">
      <c r="A424" s="20"/>
      <c r="B424" s="51" t="s">
        <v>31</v>
      </c>
      <c r="C424" s="21" t="s">
        <v>259</v>
      </c>
      <c r="D424" s="35"/>
      <c r="E424" s="24"/>
      <c r="F424" s="64"/>
      <c r="G424" s="23">
        <v>4</v>
      </c>
      <c r="H424" s="30">
        <f>MIN(IF(E424="",0,E424),B424)*G424</f>
        <v>0</v>
      </c>
      <c r="K424" s="5">
        <v>6</v>
      </c>
      <c r="L424" s="5">
        <f t="shared" si="65"/>
        <v>0</v>
      </c>
      <c r="M424" s="5">
        <f>E424/12</f>
        <v>0</v>
      </c>
    </row>
    <row r="425" spans="1:12" ht="15" customHeight="1" hidden="1">
      <c r="A425" s="20"/>
      <c r="B425" s="51">
        <v>0</v>
      </c>
      <c r="C425" s="21" t="s">
        <v>135</v>
      </c>
      <c r="D425" s="35"/>
      <c r="E425" s="24"/>
      <c r="F425" s="64">
        <f t="shared" si="63"/>
      </c>
      <c r="G425" s="23">
        <v>5</v>
      </c>
      <c r="H425" s="30">
        <f t="shared" si="64"/>
        <v>0</v>
      </c>
      <c r="K425" s="5">
        <v>6</v>
      </c>
      <c r="L425" s="5">
        <f t="shared" si="65"/>
        <v>0</v>
      </c>
    </row>
    <row r="426" spans="1:15" ht="15" customHeight="1" hidden="1">
      <c r="A426" s="20"/>
      <c r="B426" s="43">
        <v>0</v>
      </c>
      <c r="C426" s="41" t="s">
        <v>211</v>
      </c>
      <c r="D426" s="41"/>
      <c r="E426" s="24"/>
      <c r="F426" s="64">
        <f t="shared" si="63"/>
      </c>
      <c r="G426" s="23">
        <v>2.5</v>
      </c>
      <c r="H426" s="30">
        <f t="shared" si="64"/>
        <v>0</v>
      </c>
      <c r="J426" s="33"/>
      <c r="K426" s="5">
        <v>18</v>
      </c>
      <c r="L426" s="5">
        <f t="shared" si="65"/>
        <v>0</v>
      </c>
      <c r="O426" s="38"/>
    </row>
    <row r="427" spans="1:20" ht="14.25" customHeight="1" hidden="1">
      <c r="A427" s="20"/>
      <c r="B427" s="43">
        <v>0</v>
      </c>
      <c r="C427" s="41" t="s">
        <v>212</v>
      </c>
      <c r="D427" s="41"/>
      <c r="E427" s="24"/>
      <c r="F427" s="64">
        <f t="shared" si="63"/>
      </c>
      <c r="G427" s="23">
        <v>2.5</v>
      </c>
      <c r="H427" s="30">
        <f t="shared" si="64"/>
        <v>0</v>
      </c>
      <c r="K427" s="5">
        <v>18</v>
      </c>
      <c r="L427" s="5">
        <f t="shared" si="65"/>
        <v>0</v>
      </c>
      <c r="T427" s="52"/>
    </row>
    <row r="428" spans="1:13" ht="15" customHeight="1" hidden="1">
      <c r="A428" s="20"/>
      <c r="B428" s="51">
        <f>8-6-1+6-(1)-3-3</f>
        <v>0</v>
      </c>
      <c r="C428" s="21" t="s">
        <v>132</v>
      </c>
      <c r="D428" s="35"/>
      <c r="E428" s="24"/>
      <c r="F428" s="64">
        <f aca="true" t="shared" si="66" ref="F428:F435">IF(E428&gt;B428,"?","")</f>
      </c>
      <c r="G428" s="23">
        <v>4</v>
      </c>
      <c r="H428" s="30">
        <f t="shared" si="64"/>
        <v>0</v>
      </c>
      <c r="K428" s="5">
        <v>6</v>
      </c>
      <c r="L428" s="5">
        <f t="shared" si="65"/>
        <v>0</v>
      </c>
      <c r="M428" s="5">
        <f>E428/12</f>
        <v>0</v>
      </c>
    </row>
    <row r="429" spans="1:12" ht="15" customHeight="1" hidden="1">
      <c r="A429" s="20"/>
      <c r="B429" s="51">
        <v>0</v>
      </c>
      <c r="C429" s="21" t="s">
        <v>136</v>
      </c>
      <c r="D429" s="35"/>
      <c r="E429" s="24"/>
      <c r="F429" s="64">
        <f t="shared" si="66"/>
      </c>
      <c r="G429" s="23">
        <v>5</v>
      </c>
      <c r="H429" s="30">
        <f t="shared" si="64"/>
        <v>0</v>
      </c>
      <c r="K429" s="5">
        <v>6</v>
      </c>
      <c r="L429" s="5">
        <f t="shared" si="65"/>
        <v>0</v>
      </c>
    </row>
    <row r="430" spans="1:12" ht="15" customHeight="1" hidden="1">
      <c r="A430" s="20"/>
      <c r="B430" s="51">
        <v>0</v>
      </c>
      <c r="C430" s="21" t="s">
        <v>247</v>
      </c>
      <c r="D430" s="35"/>
      <c r="E430" s="24"/>
      <c r="F430" s="64">
        <f>IF(E430&gt;B430,"?","")</f>
      </c>
      <c r="G430" s="23">
        <v>5</v>
      </c>
      <c r="H430" s="30">
        <f>MIN(IF(E430="",0,E430),B430)*G430</f>
        <v>0</v>
      </c>
      <c r="K430" s="5">
        <v>6</v>
      </c>
      <c r="L430" s="5">
        <f t="shared" si="65"/>
        <v>0</v>
      </c>
    </row>
    <row r="431" spans="1:12" ht="15" customHeight="1" hidden="1">
      <c r="A431" s="20"/>
      <c r="B431" s="51">
        <f>5-5</f>
        <v>0</v>
      </c>
      <c r="C431" s="21" t="s">
        <v>187</v>
      </c>
      <c r="D431" s="66" t="s">
        <v>209</v>
      </c>
      <c r="E431" s="24"/>
      <c r="F431" s="64">
        <f t="shared" si="66"/>
      </c>
      <c r="G431" s="23">
        <v>2.5</v>
      </c>
      <c r="H431" s="30">
        <f>MIN(IF(E431="",0,E431),B431)*G431</f>
        <v>0</v>
      </c>
      <c r="K431" s="5">
        <v>18</v>
      </c>
      <c r="L431" s="5">
        <f t="shared" si="65"/>
        <v>0</v>
      </c>
    </row>
    <row r="432" spans="1:12" ht="15" customHeight="1" hidden="1">
      <c r="A432" s="20"/>
      <c r="B432" s="51">
        <f>5-5</f>
        <v>0</v>
      </c>
      <c r="C432" s="21" t="s">
        <v>334</v>
      </c>
      <c r="D432" s="66" t="s">
        <v>209</v>
      </c>
      <c r="E432" s="24"/>
      <c r="F432" s="64">
        <f>IF(E432&gt;B432,"?","")</f>
      </c>
      <c r="G432" s="23">
        <v>2.5</v>
      </c>
      <c r="H432" s="30">
        <f>MIN(IF(E432="",0,E432),B432)*G432</f>
        <v>0</v>
      </c>
      <c r="K432" s="5">
        <v>18</v>
      </c>
      <c r="L432" s="5">
        <f t="shared" si="65"/>
        <v>0</v>
      </c>
    </row>
    <row r="433" spans="1:12" ht="15" customHeight="1">
      <c r="A433" s="20"/>
      <c r="B433" s="51">
        <f>9-(1)-3-2</f>
        <v>3</v>
      </c>
      <c r="C433" s="21" t="s">
        <v>188</v>
      </c>
      <c r="D433" s="66" t="s">
        <v>209</v>
      </c>
      <c r="E433" s="24"/>
      <c r="F433" s="64">
        <f t="shared" si="66"/>
      </c>
      <c r="G433" s="23">
        <v>2.5</v>
      </c>
      <c r="H433" s="30">
        <f>MIN(IF(E433="",0,E433),B433)*G433</f>
        <v>0</v>
      </c>
      <c r="K433" s="5">
        <v>18</v>
      </c>
      <c r="L433" s="5">
        <f t="shared" si="65"/>
        <v>0</v>
      </c>
    </row>
    <row r="434" spans="1:12" ht="15" customHeight="1" hidden="1">
      <c r="A434" s="20"/>
      <c r="B434" s="51">
        <v>0</v>
      </c>
      <c r="C434" s="21" t="s">
        <v>187</v>
      </c>
      <c r="D434" s="66" t="s">
        <v>208</v>
      </c>
      <c r="E434" s="24"/>
      <c r="F434" s="64">
        <f t="shared" si="66"/>
      </c>
      <c r="G434" s="23">
        <v>3</v>
      </c>
      <c r="H434" s="30">
        <f t="shared" si="64"/>
        <v>0</v>
      </c>
      <c r="K434" s="5">
        <v>15</v>
      </c>
      <c r="L434" s="5">
        <f t="shared" si="65"/>
        <v>0</v>
      </c>
    </row>
    <row r="435" spans="1:12" ht="15" customHeight="1" hidden="1">
      <c r="A435" s="20"/>
      <c r="B435" s="51">
        <f>5-4-(1)</f>
        <v>0</v>
      </c>
      <c r="C435" s="21" t="s">
        <v>188</v>
      </c>
      <c r="D435" s="66" t="s">
        <v>208</v>
      </c>
      <c r="E435" s="24"/>
      <c r="F435" s="64">
        <f t="shared" si="66"/>
      </c>
      <c r="G435" s="23">
        <v>3</v>
      </c>
      <c r="H435" s="30">
        <f t="shared" si="64"/>
        <v>0</v>
      </c>
      <c r="K435" s="5">
        <v>15</v>
      </c>
      <c r="L435" s="5">
        <f t="shared" si="65"/>
        <v>0</v>
      </c>
    </row>
    <row r="436" spans="1:8" ht="15" customHeight="1" hidden="1">
      <c r="A436" s="20"/>
      <c r="B436" s="21"/>
      <c r="C436" s="21"/>
      <c r="D436" s="35"/>
      <c r="E436" s="33"/>
      <c r="F436" s="64"/>
      <c r="G436" s="23"/>
      <c r="H436" s="38"/>
    </row>
    <row r="437" ht="12" hidden="1">
      <c r="F437" s="64"/>
    </row>
    <row r="438" spans="1:16" ht="15" customHeight="1">
      <c r="A438" s="20"/>
      <c r="B438" s="21"/>
      <c r="C438" s="21"/>
      <c r="D438" s="25"/>
      <c r="E438" s="33">
        <f>SUM(E17:E437)</f>
        <v>0</v>
      </c>
      <c r="F438" s="64"/>
      <c r="G438" s="23"/>
      <c r="H438" s="32"/>
      <c r="K438" s="20" t="s">
        <v>228</v>
      </c>
      <c r="L438" s="34">
        <f>SUM(L18:L437)</f>
        <v>0</v>
      </c>
      <c r="M438" s="34">
        <f>SUM(M18:M437)</f>
        <v>0</v>
      </c>
      <c r="N438" s="34"/>
      <c r="O438" s="34"/>
      <c r="P438" s="34"/>
    </row>
    <row r="439" spans="1:16" ht="15" customHeight="1">
      <c r="A439" s="20"/>
      <c r="B439" s="21"/>
      <c r="C439" s="21"/>
      <c r="G439" s="25" t="s">
        <v>62</v>
      </c>
      <c r="H439" s="47">
        <f>MAX(L445,1)</f>
        <v>1</v>
      </c>
      <c r="K439" s="34"/>
      <c r="L439" s="34">
        <f>CEILING(L438,1)-1</f>
        <v>-1</v>
      </c>
      <c r="M439" s="34"/>
      <c r="N439" s="72"/>
      <c r="O439" s="34"/>
      <c r="P439" s="34"/>
    </row>
    <row r="440" spans="1:17" ht="15" customHeight="1" thickBot="1">
      <c r="A440" s="20"/>
      <c r="B440" s="24"/>
      <c r="C440" s="5" t="s">
        <v>27</v>
      </c>
      <c r="D440" s="25"/>
      <c r="E440" s="33"/>
      <c r="F440" s="64"/>
      <c r="G440" s="1" t="s">
        <v>26</v>
      </c>
      <c r="H440" s="39">
        <f>IF(B440="",0,MAX(1.1,0.055*(SUM(H17:H439))))</f>
        <v>0</v>
      </c>
      <c r="K440" s="20" t="s">
        <v>229</v>
      </c>
      <c r="L440" s="69">
        <f>M447+L439*M450</f>
        <v>0.44000000000000006</v>
      </c>
      <c r="M440" s="69"/>
      <c r="N440" s="34"/>
      <c r="Q440" s="52"/>
    </row>
    <row r="441" spans="1:14" ht="20.25" customHeight="1" thickTop="1">
      <c r="A441" s="4"/>
      <c r="B441" s="37"/>
      <c r="D441" s="16"/>
      <c r="G441" s="7" t="s">
        <v>21</v>
      </c>
      <c r="H441" s="40">
        <f>IF(SUM(H17:H440)&gt;1,SUM(H17:H440),0)</f>
        <v>0</v>
      </c>
      <c r="K441" s="34"/>
      <c r="L441" s="69">
        <f>IF(M438&lt;1,L440,L440+M451)</f>
        <v>0.44000000000000006</v>
      </c>
      <c r="M441" s="69"/>
      <c r="N441" s="34"/>
    </row>
    <row r="442" spans="1:14" ht="12" hidden="1">
      <c r="A442" s="1"/>
      <c r="B442" s="4"/>
      <c r="K442" s="34"/>
      <c r="L442" s="34"/>
      <c r="M442" s="34"/>
      <c r="N442" s="34"/>
    </row>
    <row r="443" spans="1:14" ht="12" hidden="1">
      <c r="A443" s="1"/>
      <c r="B443" s="26" t="s">
        <v>22</v>
      </c>
      <c r="K443" s="34"/>
      <c r="L443" s="34"/>
      <c r="M443" s="34"/>
      <c r="N443" s="34"/>
    </row>
    <row r="444" spans="1:14" ht="15.75">
      <c r="A444" s="27"/>
      <c r="B444" s="4"/>
      <c r="K444" s="34"/>
      <c r="L444" s="69">
        <f>CEILING(2*L441,1)</f>
        <v>1</v>
      </c>
      <c r="M444" s="69"/>
      <c r="N444" s="34"/>
    </row>
    <row r="445" spans="1:16" ht="20.25">
      <c r="A445" s="1"/>
      <c r="B445" s="4"/>
      <c r="C445" s="28" t="s">
        <v>23</v>
      </c>
      <c r="H445" s="36"/>
      <c r="K445" s="43" t="s">
        <v>230</v>
      </c>
      <c r="L445" s="69">
        <f>L444/2</f>
        <v>0.5</v>
      </c>
      <c r="M445" s="69"/>
      <c r="N445" s="34"/>
      <c r="O445" s="34"/>
      <c r="P445" s="34"/>
    </row>
    <row r="446" spans="1:18" ht="24">
      <c r="A446" s="1"/>
      <c r="B446" s="4"/>
      <c r="D446" s="29" t="s">
        <v>0</v>
      </c>
      <c r="K446" s="20"/>
      <c r="L446" s="69"/>
      <c r="M446" s="69"/>
      <c r="N446" s="34"/>
      <c r="O446" s="34"/>
      <c r="P446" s="34"/>
      <c r="R446" s="69"/>
    </row>
    <row r="447" spans="13:18" ht="12.75">
      <c r="M447" s="34">
        <v>0.68</v>
      </c>
      <c r="N447" s="34"/>
      <c r="R447" s="69"/>
    </row>
    <row r="448" spans="13:18" ht="12.75">
      <c r="M448" s="34">
        <v>1.39</v>
      </c>
      <c r="N448" s="34"/>
      <c r="R448" s="69"/>
    </row>
    <row r="449" spans="13:18" ht="12.75">
      <c r="M449" s="34">
        <f>M448-M447</f>
        <v>0.7099999999999999</v>
      </c>
      <c r="N449" s="34"/>
      <c r="R449" s="69"/>
    </row>
    <row r="450" spans="13:18" ht="12.75">
      <c r="M450" s="34">
        <v>0.24</v>
      </c>
      <c r="N450" s="34"/>
      <c r="R450" s="69"/>
    </row>
    <row r="451" spans="13:14" ht="12.75">
      <c r="M451" s="34"/>
      <c r="N451" s="34"/>
    </row>
    <row r="503" ht="12.75"/>
    <row r="504" ht="12.75"/>
    <row r="505" ht="12.75"/>
    <row r="506" ht="12.75"/>
    <row r="507" ht="12.75"/>
    <row r="511" ht="12.75"/>
    <row r="512" ht="12.75"/>
  </sheetData>
  <sheetProtection password="D84B" sheet="1" selectLockedCells="1"/>
  <mergeCells count="6">
    <mergeCell ref="C9:D9"/>
    <mergeCell ref="C10:D10"/>
    <mergeCell ref="C11:D11"/>
    <mergeCell ref="C12:D12"/>
    <mergeCell ref="C13:D13"/>
    <mergeCell ref="C14:D14"/>
  </mergeCells>
  <hyperlinks>
    <hyperlink ref="B12" r:id="rId1" display="Scott.E.Dick@p66.com"/>
    <hyperlink ref="H13" r:id="rId2" display="SageVenture@yahoo.com"/>
  </hyperlinks>
  <printOptions horizontalCentered="1"/>
  <pageMargins left="0.75" right="0.75" top="0.5" bottom="0.6" header="0.5" footer="0.42"/>
  <pageSetup fitToHeight="1" fitToWidth="1" horizontalDpi="600" verticalDpi="600" orientation="portrait" scale="51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Crunch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Craig Murray, Ph.D.</dc:creator>
  <cp:keywords/>
  <dc:description/>
  <cp:lastModifiedBy>Craig</cp:lastModifiedBy>
  <cp:lastPrinted>2024-04-05T18:33:30Z</cp:lastPrinted>
  <dcterms:created xsi:type="dcterms:W3CDTF">2003-05-15T13:28:23Z</dcterms:created>
  <dcterms:modified xsi:type="dcterms:W3CDTF">2024-04-18T18:04:45Z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